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0" windowWidth="4710" windowHeight="4950" activeTab="4"/>
  </bookViews>
  <sheets>
    <sheet name="parametros" sheetId="1" r:id="rId1"/>
    <sheet name="Tuning" sheetId="2" r:id="rId2"/>
    <sheet name="DadosReais&amp;Graficos" sheetId="3" r:id="rId3"/>
    <sheet name="Year" sheetId="4" r:id="rId4"/>
    <sheet name="Month" sheetId="5" r:id="rId5"/>
    <sheet name="PSP-1 Metdata" sheetId="6" r:id="rId6"/>
  </sheets>
  <externalReferences>
    <externalReference r:id="rId9"/>
    <externalReference r:id="rId10"/>
    <externalReference r:id="rId11"/>
    <externalReference r:id="rId12"/>
  </externalReferences>
  <definedNames>
    <definedName name="Alitter" localSheetId="5">'[2]parametros'!$D$34</definedName>
    <definedName name="ALitter">'[1]parametros'!$D$41</definedName>
    <definedName name="alpha" localSheetId="5">'[2]parametros'!$D$57</definedName>
    <definedName name="alpha">'parametros'!$D$54</definedName>
    <definedName name="BLcond" localSheetId="5">'[2]parametros'!$D$42</definedName>
    <definedName name="BLcond">'parametros'!$D$39</definedName>
    <definedName name="CoeffCond" localSheetId="5">'[2]parametros'!$D$41</definedName>
    <definedName name="CoeffCond">'parametros'!$D$38</definedName>
    <definedName name="DatePlant" localSheetId="2">'DadosReais&amp;Graficos'!$F$3</definedName>
    <definedName name="DatePlant">#REF!</definedName>
    <definedName name="e_20" localSheetId="5">'[2]parametros'!$D$59</definedName>
    <definedName name="e_20">'parametros'!$D$57</definedName>
    <definedName name="EndAge" localSheetId="2">'DadosReais&amp;Graficos'!$F$6</definedName>
    <definedName name="EndAge">#REF!</definedName>
    <definedName name="fN0" localSheetId="5">'[2]parametros'!$D$24</definedName>
    <definedName name="fN0">'parametros'!$D$24</definedName>
    <definedName name="fNn" localSheetId="5">'[2]parametros'!$D$25</definedName>
    <definedName name="fNn">'parametros'!$D$25</definedName>
    <definedName name="FR0" localSheetId="2">'DadosReais&amp;Graficos'!$C$4</definedName>
    <definedName name="FR0">#REF!</definedName>
    <definedName name="fracBB0" localSheetId="5">'[2]parametros'!$D$64</definedName>
    <definedName name="fracBB0">'parametros'!$D$62</definedName>
    <definedName name="fracBB1" localSheetId="5">'[2]parametros'!$D$65</definedName>
    <definedName name="fracBB1">'parametros'!$D$63</definedName>
    <definedName name="fullCanAge" localSheetId="5">'[2]parametros'!$D$54</definedName>
    <definedName name="fullCanAge">'parametros'!$D$51</definedName>
    <definedName name="gammaF0" localSheetId="5">'[2]parametros'!$D$32</definedName>
    <definedName name="gammaF0">'parametros'!$D$32</definedName>
    <definedName name="gammaFx" localSheetId="5">'[2]parametros'!$D$31</definedName>
    <definedName name="gammaFx">'parametros'!$D$31</definedName>
    <definedName name="gDM_mol" localSheetId="5">'[2]parametros'!$D$74</definedName>
    <definedName name="gDM_mol">'parametros'!$D$72</definedName>
    <definedName name="IniAge" localSheetId="2">'DadosReais&amp;Graficos'!$F$4</definedName>
    <definedName name="IniAge">#REF!</definedName>
    <definedName name="IniASW" localSheetId="2">'DadosReais&amp;Graficos'!$F$11</definedName>
    <definedName name="IniASW">#REF!</definedName>
    <definedName name="IniMonth" localSheetId="2">'DadosReais&amp;Graficos'!$F$5</definedName>
    <definedName name="IniMonth">#REF!</definedName>
    <definedName name="IniWf" localSheetId="2">'DadosReais&amp;Graficos'!$F$7</definedName>
    <definedName name="IniWf">#REF!</definedName>
    <definedName name="IniWr" localSheetId="2">'DadosReais&amp;Graficos'!$F$8</definedName>
    <definedName name="IniWr">#REF!</definedName>
    <definedName name="IniWs" localSheetId="2">'DadosReais&amp;Graficos'!$F$9</definedName>
    <definedName name="IniWs">#REF!</definedName>
    <definedName name="k" localSheetId="5">'[2]parametros'!$D$53</definedName>
    <definedName name="k">'parametros'!$D$50</definedName>
    <definedName name="kF" localSheetId="5">'[2]parametros'!$D$18</definedName>
    <definedName name="kF">'parametros'!$D$18</definedName>
    <definedName name="LAIgcx" localSheetId="5">'[2]parametros'!$D$40</definedName>
    <definedName name="LAIgcx">'parametros'!$D$37</definedName>
    <definedName name="LAImaxIntcptn" localSheetId="5">'[2]parametros'!$D$56</definedName>
    <definedName name="LAImaxIntcptn">'parametros'!$D$53</definedName>
    <definedName name="lambda" localSheetId="5">'[2]parametros'!$D$61</definedName>
    <definedName name="lambda">'parametros'!$D$59</definedName>
    <definedName name="Lat" localSheetId="2">'DadosReais&amp;Graficos'!$C$3</definedName>
    <definedName name="Lat">#REF!</definedName>
    <definedName name="m0" localSheetId="5">'[2]parametros'!$D$23</definedName>
    <definedName name="m0">'parametros'!$D$23</definedName>
    <definedName name="MaxAge" localSheetId="5">'[2]parametros'!$D$27</definedName>
    <definedName name="MaxAge">'parametros'!$D$27</definedName>
    <definedName name="MaxASW" localSheetId="2">'DadosReais&amp;Graficos'!$C$6</definedName>
    <definedName name="MaxASW">#REF!</definedName>
    <definedName name="MaxCond" localSheetId="5">'[2]parametros'!$D$39</definedName>
    <definedName name="MaxCond">'parametros'!$D$36</definedName>
    <definedName name="MaxIntcptn" localSheetId="5">'[2]parametros'!$D$55</definedName>
    <definedName name="MaxIntcptn">'parametros'!$D$52</definedName>
    <definedName name="mF" localSheetId="5">'[2]parametros'!$D$46</definedName>
    <definedName name="mF">'parametros'!$D$43</definedName>
    <definedName name="MinASW" localSheetId="2">'DadosReais&amp;Graficos'!$C$7</definedName>
    <definedName name="MinASW">#REF!</definedName>
    <definedName name="molPAR_MJ" localSheetId="5">'[2]parametros'!$D$75</definedName>
    <definedName name="molPAR_MJ">'parametros'!$D$73</definedName>
    <definedName name="mR" localSheetId="5">'[2]parametros'!$D$47</definedName>
    <definedName name="mR">'parametros'!$D$44</definedName>
    <definedName name="mS" localSheetId="5">'[2]parametros'!$D$48</definedName>
    <definedName name="mS">'parametros'!$D$45</definedName>
    <definedName name="nAge" localSheetId="5">'[2]parametros'!$D$28</definedName>
    <definedName name="nAge">'parametros'!$D$28</definedName>
    <definedName name="Nobs" localSheetId="5">'[2]Tuning'!$A$74</definedName>
    <definedName name="Nobs">'Tuning'!#REF!</definedName>
    <definedName name="Npl" localSheetId="2">'DadosReais&amp;Graficos'!$F$10</definedName>
    <definedName name="Npl">#REF!</definedName>
    <definedName name="pFS2" localSheetId="5">'[2]parametros'!$D$5</definedName>
    <definedName name="pFS2">'parametros'!$D$5</definedName>
    <definedName name="pFS20" localSheetId="5">'[2]parametros'!$D$6</definedName>
    <definedName name="pFS20">'parametros'!$D$6</definedName>
    <definedName name="pfsConst" localSheetId="5">'[2]parametros'!$D$8</definedName>
    <definedName name="pfsConst">'parametros'!$D$8</definedName>
    <definedName name="pfsPower" localSheetId="5">'[2]parametros'!$D$7</definedName>
    <definedName name="pfsPower">'parametros'!$D$7</definedName>
    <definedName name="poolFractn">'parametros'!$D$56</definedName>
    <definedName name="_xlnm.Print_Area" localSheetId="5">'PSP-1 Metdata'!$A:$IV</definedName>
    <definedName name="_xlnm.Print_Titles" localSheetId="4">'Month'!$A:$C,'Month'!$1:$3</definedName>
    <definedName name="pRn" localSheetId="5">'[2]parametros'!$D$12</definedName>
    <definedName name="pRn">'parametros'!$D$12</definedName>
    <definedName name="pRx" localSheetId="5">'[2]parametros'!$D$11</definedName>
    <definedName name="pRx">'parametros'!$D$11</definedName>
    <definedName name="Qa" localSheetId="5">'[2]parametros'!$D$72</definedName>
    <definedName name="Qa">'parametros'!$D$70</definedName>
    <definedName name="Qb" localSheetId="5">'[2]parametros'!$D$73</definedName>
    <definedName name="Qb">'parametros'!$D$71</definedName>
    <definedName name="rAge" localSheetId="5">'[2]parametros'!$D$29</definedName>
    <definedName name="rAge">'parametros'!$D$29</definedName>
    <definedName name="rhoAir" localSheetId="5">'[2]parametros'!$D$60</definedName>
    <definedName name="rhoAir">'parametros'!$D$58</definedName>
    <definedName name="rhoMax" localSheetId="5">'[2]parametros'!$D$69</definedName>
    <definedName name="rhoMax">'parametros'!$D$67</definedName>
    <definedName name="rhoMin" localSheetId="5">'[2]parametros'!$D$68</definedName>
    <definedName name="rhoMin">'parametros'!$D$66</definedName>
    <definedName name="Rttover" localSheetId="5">'[2]parametros'!$D$37</definedName>
    <definedName name="Rttover">'parametros'!$D$34</definedName>
    <definedName name="scaleLitter" localSheetId="5">'[2]parametros'!$D$35</definedName>
    <definedName name="scaleLitter">'[1]parametros'!$D$42</definedName>
    <definedName name="shapeLitter" localSheetId="5">'[2]parametros'!$D$36</definedName>
    <definedName name="shapeLitter">'[1]parametros'!$D$43</definedName>
    <definedName name="SLA0" localSheetId="5">'[2]parametros'!$D$50</definedName>
    <definedName name="SLA0">'parametros'!$D$47</definedName>
    <definedName name="SLA1" localSheetId="5">'[2]parametros'!$D$51</definedName>
    <definedName name="SLA1">'parametros'!$D$48</definedName>
    <definedName name="soilClass" localSheetId="2">'DadosReais&amp;Graficos'!$C$5</definedName>
    <definedName name="soilClass">#REF!</definedName>
    <definedName name="solver_adj" localSheetId="1" hidden="1">'Tuning'!$G$5:$G$8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1" hidden="1">'Tuning'!#REF!</definedName>
    <definedName name="solver_lhs2" localSheetId="1" hidden="1">'Tuning'!#REF!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opt" localSheetId="2" hidden="1">'DadosReais&amp;Graficos'!#REF!</definedName>
    <definedName name="solver_opt" localSheetId="1" hidden="1">'Tuning'!$L$8</definedName>
    <definedName name="solver_pre" localSheetId="2" hidden="1">0.000001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hs1" localSheetId="1" hidden="1">0.03</definedName>
    <definedName name="solver_rhs2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Q1W" localSheetId="5">'[2]Tuning'!$B$74</definedName>
    <definedName name="SQ1Wl" localSheetId="5">'[2]Tuning'!$F$74</definedName>
    <definedName name="SQ1Wr" localSheetId="5">'[2]Tuning'!$J$74</definedName>
    <definedName name="SQ2W" localSheetId="5">'[2]Tuning'!$D$74</definedName>
    <definedName name="SQ2Wl" localSheetId="5">'[2]Tuning'!$H$74</definedName>
    <definedName name="SQ2Wr" localSheetId="5">'[2]Tuning'!$L$74</definedName>
    <definedName name="SSQ_resWa">'Tuning'!$D$50</definedName>
    <definedName name="SSQ_resWl">'Tuning'!$H$50</definedName>
    <definedName name="SSQ_resWr">'Tuning'!$L$50</definedName>
    <definedName name="SSQ_Wa">'Tuning'!$B$50</definedName>
    <definedName name="SSQ_Wl">'Tuning'!$G$50</definedName>
    <definedName name="SSQ_Wr">'Tuning'!$K$50</definedName>
    <definedName name="StemConst" localSheetId="5">'[2]parametros'!$D$9</definedName>
    <definedName name="StemConst">'parametros'!$D$9</definedName>
    <definedName name="StemPower" localSheetId="5">'[2]parametros'!$D$10</definedName>
    <definedName name="StemPower">'parametros'!$D$10</definedName>
    <definedName name="SWconst0" localSheetId="5">'[2]parametros'!$D$20</definedName>
    <definedName name="SWconst0">'parametros'!$D$20</definedName>
    <definedName name="SWpower0" localSheetId="5">'[2]parametros'!$D$21</definedName>
    <definedName name="SWpower0">'parametros'!$D$21</definedName>
    <definedName name="tBB" localSheetId="5">'[2]parametros'!$D$66</definedName>
    <definedName name="tBB">'parametros'!$D$64</definedName>
    <definedName name="Test">#REF!</definedName>
    <definedName name="tgammaF" localSheetId="5">'[2]parametros'!$D$33</definedName>
    <definedName name="tgammaF">'parametros'!$D$33</definedName>
    <definedName name="thinPower" localSheetId="5">'[2]parametros'!$D$45</definedName>
    <definedName name="thinPower">'parametros'!$D$42</definedName>
    <definedName name="Tmax" localSheetId="5">'[2]parametros'!$D$16</definedName>
    <definedName name="Tmax">'parametros'!$D$16</definedName>
    <definedName name="Tmin" localSheetId="5">'[2]parametros'!$D$14</definedName>
    <definedName name="Tmin">'parametros'!$D$14</definedName>
    <definedName name="Topt" localSheetId="5">'[2]parametros'!$D$15</definedName>
    <definedName name="Topt">'parametros'!$D$15</definedName>
    <definedName name="tRho" localSheetId="5">'[2]parametros'!$D$70</definedName>
    <definedName name="tRho">'parametros'!$D$68</definedName>
    <definedName name="tSLA" localSheetId="5">'[2]parametros'!$D$52</definedName>
    <definedName name="tSLA">'parametros'!$D$49</definedName>
    <definedName name="VPDconv" localSheetId="5">'[2]parametros'!$D$62</definedName>
    <definedName name="VPDconv">'parametros'!$D$60</definedName>
    <definedName name="wSx1000" localSheetId="5">'[2]parametros'!$D$44</definedName>
    <definedName name="wSx1000">'parametros'!$D$41</definedName>
    <definedName name="Y" localSheetId="5">'[2]parametros'!$D$58</definedName>
    <definedName name="Y">'parametros'!$D$55</definedName>
  </definedNames>
  <calcPr fullCalcOnLoad="1"/>
</workbook>
</file>

<file path=xl/sharedStrings.xml><?xml version="1.0" encoding="utf-8"?>
<sst xmlns="http://schemas.openxmlformats.org/spreadsheetml/2006/main" count="433" uniqueCount="314">
  <si>
    <t>Meaning/comments</t>
  </si>
  <si>
    <t>Name</t>
  </si>
  <si>
    <t>Units</t>
  </si>
  <si>
    <t>Allometric relationships &amp; partitioning</t>
  </si>
  <si>
    <t>Foliage:stem partitioning ratio @ D=2 cm</t>
  </si>
  <si>
    <t>pFS2</t>
  </si>
  <si>
    <t>-</t>
  </si>
  <si>
    <t>Foliage:stem partitioning ratio @ D=20 cm</t>
  </si>
  <si>
    <t>pFS20</t>
  </si>
  <si>
    <t>Constant in the stem mass v. diam. relationship</t>
  </si>
  <si>
    <t>StemConst</t>
  </si>
  <si>
    <t>Power in the stem mass v. diam. relationship</t>
  </si>
  <si>
    <t>StemPower</t>
  </si>
  <si>
    <t>Maximum fraction of NPP to roots</t>
  </si>
  <si>
    <t>pRx</t>
  </si>
  <si>
    <t>Minimum fraction of NPP to roots</t>
  </si>
  <si>
    <t>pRn</t>
  </si>
  <si>
    <t>Temperature modifier (fT)</t>
  </si>
  <si>
    <t>Minimum temperature for growth</t>
  </si>
  <si>
    <t>Tmin</t>
  </si>
  <si>
    <t>deg. C</t>
  </si>
  <si>
    <t>Optimum temperature for growth</t>
  </si>
  <si>
    <t>Topt</t>
  </si>
  <si>
    <t>Maximum temperature for growth</t>
  </si>
  <si>
    <t>Tmax</t>
  </si>
  <si>
    <t>Frost modifier (fFRost)</t>
  </si>
  <si>
    <t>Days production lost per frost day</t>
  </si>
  <si>
    <t>kF</t>
  </si>
  <si>
    <t>days</t>
  </si>
  <si>
    <t>Soil water modifier (fSW)</t>
  </si>
  <si>
    <r>
      <t>Moisture ratio deficit for f</t>
    </r>
    <r>
      <rPr>
        <vertAlign val="subscript"/>
        <sz val="10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= 0.5 </t>
    </r>
  </si>
  <si>
    <t>Power of moisture ratio deficit</t>
  </si>
  <si>
    <t>Fertitlity effects</t>
  </si>
  <si>
    <t>Value of 'm' when FR = 0</t>
  </si>
  <si>
    <t>m0</t>
  </si>
  <si>
    <t>Value of 'fNutr' when FR = 0</t>
  </si>
  <si>
    <t>fN0</t>
  </si>
  <si>
    <t xml:space="preserve">Power of (1-FR) in 'fNutr' </t>
  </si>
  <si>
    <t>fNn</t>
  </si>
  <si>
    <t>Age modifier (fAge)</t>
  </si>
  <si>
    <t>Maximum stand age used in age modifier</t>
  </si>
  <si>
    <t>MaxAge</t>
  </si>
  <si>
    <t>years</t>
  </si>
  <si>
    <t>Power of relative age in function for fAge</t>
  </si>
  <si>
    <t>nAge</t>
  </si>
  <si>
    <t>Relative age to give fAge = 0.5</t>
  </si>
  <si>
    <t>rAge</t>
  </si>
  <si>
    <t>Litterfall &amp; root turnover</t>
  </si>
  <si>
    <t>Maximum litterfall rate</t>
  </si>
  <si>
    <t>gammaFx</t>
  </si>
  <si>
    <t>1/month</t>
  </si>
  <si>
    <t>Litterfall rate at t = 0</t>
  </si>
  <si>
    <t>gammaF0</t>
  </si>
  <si>
    <t>Age at which litterfall rate has median value</t>
  </si>
  <si>
    <t>tgammaF</t>
  </si>
  <si>
    <t>month</t>
  </si>
  <si>
    <t>Average monthly root turnover rate</t>
  </si>
  <si>
    <t>Rttover</t>
  </si>
  <si>
    <t>Conductance</t>
  </si>
  <si>
    <t>Maximum canopy conductance</t>
  </si>
  <si>
    <t>MaxCond</t>
  </si>
  <si>
    <t>m/s</t>
  </si>
  <si>
    <t>LAI for maximum canopy conductance</t>
  </si>
  <si>
    <t>LAIgcx</t>
  </si>
  <si>
    <t>Defines stomatal response to VPD</t>
  </si>
  <si>
    <t>CoeffCond</t>
  </si>
  <si>
    <t>1/mBar</t>
  </si>
  <si>
    <t>BLcond</t>
  </si>
  <si>
    <t>Stem numbers</t>
  </si>
  <si>
    <t>Max. stem mass per tree @ 1000 trees/hectare</t>
  </si>
  <si>
    <t>wSx1000</t>
  </si>
  <si>
    <t>kg/tree</t>
  </si>
  <si>
    <t>Power in self-thinning rule</t>
  </si>
  <si>
    <t>thinPower</t>
  </si>
  <si>
    <t>Fraction mean single-tree foliage biomass lost per dead tree</t>
  </si>
  <si>
    <t>mF</t>
  </si>
  <si>
    <t>Fraction mean single-tree root biomass lost per dead tree</t>
  </si>
  <si>
    <t>mR</t>
  </si>
  <si>
    <t>Fraction mean single-tree stem biomass lost per dead tree</t>
  </si>
  <si>
    <t>mS</t>
  </si>
  <si>
    <t>Canopy structure and processes</t>
  </si>
  <si>
    <t>Specific leaf area at age 0</t>
  </si>
  <si>
    <t>SLA0</t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</si>
  <si>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/kg</t>
    </r>
  </si>
  <si>
    <t>Specific leaf area for mature leaves</t>
  </si>
  <si>
    <t>SLA1</t>
  </si>
  <si>
    <t>Age at which specific leaf area = (SLA0+SLA1)/2</t>
  </si>
  <si>
    <t>tSLA</t>
  </si>
  <si>
    <t>Extinction coefficient for absorption of PAR by canopy</t>
  </si>
  <si>
    <t>k</t>
  </si>
  <si>
    <t xml:space="preserve">Age at canopy cover </t>
  </si>
  <si>
    <t>fullCanAge</t>
  </si>
  <si>
    <t>Maximum proportion of rainfall evaporated from canopy</t>
  </si>
  <si>
    <t>MaxIntcptn</t>
  </si>
  <si>
    <t>LAI for maximum rainfall interception</t>
  </si>
  <si>
    <t>LAImaxIntcptn</t>
  </si>
  <si>
    <t>Canopy quantum efficiency</t>
  </si>
  <si>
    <t>alpha</t>
  </si>
  <si>
    <t>molC/molPAR</t>
  </si>
  <si>
    <t>Ratio NPP/GPP</t>
  </si>
  <si>
    <t>Y</t>
  </si>
  <si>
    <t>Branch and bark fraction (fracBB)</t>
  </si>
  <si>
    <t>Branch and bark fraction at age 0</t>
  </si>
  <si>
    <t>fracBB0</t>
  </si>
  <si>
    <t>Branch and bark fraction for mature stands</t>
  </si>
  <si>
    <t>fracBB1</t>
  </si>
  <si>
    <t>Age at which fracBB = (fracBB0+fracBB1)/2</t>
  </si>
  <si>
    <t>tBB</t>
  </si>
  <si>
    <t>Basic Density</t>
  </si>
  <si>
    <t>Minimum basic density - for young trees</t>
  </si>
  <si>
    <t>rhoMin</t>
  </si>
  <si>
    <t>t/m3</t>
  </si>
  <si>
    <t>Maximum basic density - for older trees</t>
  </si>
  <si>
    <t>rhoMax</t>
  </si>
  <si>
    <t>Age at which rho = (rhoMin+rhoMax)/2</t>
  </si>
  <si>
    <t>tRho</t>
  </si>
  <si>
    <t>Conversion factors</t>
  </si>
  <si>
    <t>Intercept of net v. solar radiation relationship</t>
  </si>
  <si>
    <t>Qa</t>
  </si>
  <si>
    <t>W/m2</t>
  </si>
  <si>
    <t>Slope of net v. solar radiation relationship</t>
  </si>
  <si>
    <t>Qb</t>
  </si>
  <si>
    <t>Molecular weight of dry matter</t>
  </si>
  <si>
    <t>gDM_mol</t>
  </si>
  <si>
    <t>gDM/mol</t>
  </si>
  <si>
    <t>Conversion of solar radiation to PAR</t>
  </si>
  <si>
    <t>molPAR_MJ</t>
  </si>
  <si>
    <t>mol/MJ</t>
  </si>
  <si>
    <r>
      <t xml:space="preserve">Standard 3PG parameters </t>
    </r>
    <r>
      <rPr>
        <b/>
        <sz val="10"/>
        <color indexed="8"/>
        <rFont val="Arial"/>
        <family val="2"/>
      </rPr>
      <t>(3PGpjs vsn 2.3, 3PG March 2002)</t>
    </r>
  </si>
  <si>
    <t>Site factor block</t>
  </si>
  <si>
    <t>Initialisation block</t>
  </si>
  <si>
    <t>Latitude =</t>
  </si>
  <si>
    <t>Fertility rating =</t>
  </si>
  <si>
    <t>Soil class =</t>
  </si>
  <si>
    <t>Maximum ASW =</t>
  </si>
  <si>
    <t>Minimum ASW =</t>
  </si>
  <si>
    <t>End age =</t>
  </si>
  <si>
    <t xml:space="preserve">Initial WF = </t>
  </si>
  <si>
    <t xml:space="preserve">Initial WR = </t>
  </si>
  <si>
    <t xml:space="preserve">Initial WS = </t>
  </si>
  <si>
    <t xml:space="preserve">Initial stocking = </t>
  </si>
  <si>
    <t xml:space="preserve">Initial ASW = </t>
  </si>
  <si>
    <t>Stand age</t>
  </si>
  <si>
    <t>Stems</t>
  </si>
  <si>
    <t>LAI</t>
  </si>
  <si>
    <t>ASW</t>
  </si>
  <si>
    <t>Planting</t>
  </si>
  <si>
    <t>Date</t>
  </si>
  <si>
    <t>Wfoliage</t>
  </si>
  <si>
    <t>Wroot</t>
  </si>
  <si>
    <t>sla</t>
  </si>
  <si>
    <t>Mean d (cm)</t>
  </si>
  <si>
    <t>fracBB</t>
  </si>
  <si>
    <t>W(wbbr)</t>
  </si>
  <si>
    <t xml:space="preserve"> Mean w(wbbr) (kg)</t>
  </si>
  <si>
    <t>dens</t>
  </si>
  <si>
    <t>mai V</t>
  </si>
  <si>
    <t>Rain Days</t>
  </si>
  <si>
    <t>Frost Days</t>
  </si>
  <si>
    <t>Solar rad (MJ m-2 day-1)</t>
  </si>
  <si>
    <t>Rain   (mm month-1)</t>
  </si>
  <si>
    <t>fT</t>
  </si>
  <si>
    <t>Tav</t>
  </si>
  <si>
    <t>fVPD</t>
  </si>
  <si>
    <t>VPD</t>
  </si>
  <si>
    <t>VPDx</t>
  </si>
  <si>
    <t>VPDn</t>
  </si>
  <si>
    <t>fSW</t>
  </si>
  <si>
    <t>fNutr</t>
  </si>
  <si>
    <t>fFrost</t>
  </si>
  <si>
    <t>fAge</t>
  </si>
  <si>
    <t>PhysMod</t>
  </si>
  <si>
    <t>GPPdm</t>
  </si>
  <si>
    <t>m</t>
  </si>
  <si>
    <t>pFS</t>
  </si>
  <si>
    <t>pfsConst</t>
  </si>
  <si>
    <t>pfsPower</t>
  </si>
  <si>
    <t>pR</t>
  </si>
  <si>
    <t>pS</t>
  </si>
  <si>
    <t>pF</t>
  </si>
  <si>
    <t>delWf</t>
  </si>
  <si>
    <t>delWr</t>
  </si>
  <si>
    <t>delWs</t>
  </si>
  <si>
    <t>delLitter</t>
  </si>
  <si>
    <t>delRoots</t>
  </si>
  <si>
    <t>Wtotal</t>
  </si>
  <si>
    <t>Total Litter</t>
  </si>
  <si>
    <t>e20</t>
  </si>
  <si>
    <t>rhoAir</t>
  </si>
  <si>
    <t>lambda</t>
  </si>
  <si>
    <t>VPDconv</t>
  </si>
  <si>
    <t>netRad</t>
  </si>
  <si>
    <t>Slat</t>
  </si>
  <si>
    <t>cLAt</t>
  </si>
  <si>
    <t>sinDec</t>
  </si>
  <si>
    <t>year</t>
  </si>
  <si>
    <t>1stdayYear</t>
  </si>
  <si>
    <t>cosH0</t>
  </si>
  <si>
    <t>getdaylength</t>
  </si>
  <si>
    <t>defTerm</t>
  </si>
  <si>
    <t>div</t>
  </si>
  <si>
    <t>Etransp</t>
  </si>
  <si>
    <t>Transp</t>
  </si>
  <si>
    <t>RAD   (MJ m-2)</t>
  </si>
  <si>
    <t>NPP         (t ha-1)</t>
  </si>
  <si>
    <t>Canopy Transp (kg m-2 day-1)</t>
  </si>
  <si>
    <t>Evapo    transp</t>
  </si>
  <si>
    <t>Month</t>
  </si>
  <si>
    <t>Irradiance</t>
  </si>
  <si>
    <t>FR</t>
  </si>
  <si>
    <t>epsilon</t>
  </si>
  <si>
    <t>lightIntcptn</t>
  </si>
  <si>
    <t>Rain  Intcptn</t>
  </si>
  <si>
    <t>dayOfYear</t>
  </si>
  <si>
    <t>V             (m3 ha-1)</t>
  </si>
  <si>
    <t>G           (m2 ha-1)</t>
  </si>
  <si>
    <t>daysInMonth</t>
  </si>
  <si>
    <t>Canopy boundary layer conductance</t>
  </si>
  <si>
    <t>SWConst</t>
  </si>
  <si>
    <t>SWconst0</t>
  </si>
  <si>
    <t>SWpower0</t>
  </si>
  <si>
    <t>soilClass</t>
  </si>
  <si>
    <t>&lt;0</t>
  </si>
  <si>
    <t>Sandy</t>
  </si>
  <si>
    <t>Clay loam</t>
  </si>
  <si>
    <t>Clay</t>
  </si>
  <si>
    <t>Sandy loam</t>
  </si>
  <si>
    <t>No effect of available soil water</t>
  </si>
  <si>
    <t>Non standard (use SWconst0 and Swpower0)</t>
  </si>
  <si>
    <t>N</t>
  </si>
  <si>
    <t>Wr</t>
  </si>
  <si>
    <t>W</t>
  </si>
  <si>
    <t>Wlit</t>
  </si>
  <si>
    <t>dg</t>
  </si>
  <si>
    <t>Rbbr</t>
  </si>
  <si>
    <t>Tm</t>
  </si>
  <si>
    <t>MODIFIERS</t>
  </si>
  <si>
    <t>VARIÁVEIS DO POVOAMENTO</t>
  </si>
  <si>
    <t>Rate of litterfall</t>
  </si>
  <si>
    <t>INFORMAÇÃO PARA GESTÃO</t>
  </si>
  <si>
    <t>PRODUTIVIDADE PRIMÁRIA LÍQUIDA</t>
  </si>
  <si>
    <t>ALOCAÇÃO DE HIDRATOS DE CARBONO</t>
  </si>
  <si>
    <t>TURNOVERS</t>
  </si>
  <si>
    <t>day length</t>
  </si>
  <si>
    <t>FUNCTION GetDayLength</t>
  </si>
  <si>
    <t>Tabela auxiliar dayOfYear</t>
  </si>
  <si>
    <t>canCond gC</t>
  </si>
  <si>
    <t>gBL BLCond</t>
  </si>
  <si>
    <t>TRANSPIRAÇÃO</t>
  </si>
  <si>
    <t>BALANÇO DE ÁGUA NO SOLO</t>
  </si>
  <si>
    <t>DADOS CLIMÁTICOS</t>
  </si>
  <si>
    <t>Wf</t>
  </si>
  <si>
    <t>Ws</t>
  </si>
  <si>
    <t>wsg</t>
  </si>
  <si>
    <t>Can Cover</t>
  </si>
  <si>
    <t>não usado</t>
  </si>
  <si>
    <t>SW Power</t>
  </si>
  <si>
    <t>Age</t>
  </si>
  <si>
    <t>Wabobs</t>
  </si>
  <si>
    <t>Wabpred</t>
  </si>
  <si>
    <t>P-O</t>
  </si>
  <si>
    <t>Wlobs</t>
  </si>
  <si>
    <t>Wlpred</t>
  </si>
  <si>
    <t>Wrobs</t>
  </si>
  <si>
    <t>Wrpred</t>
  </si>
  <si>
    <t>March</t>
  </si>
  <si>
    <t>Wwoody</t>
  </si>
  <si>
    <t>Wabove</t>
  </si>
  <si>
    <t xml:space="preserve">Station = </t>
  </si>
  <si>
    <t>A009 Yearly data</t>
  </si>
  <si>
    <t>Year</t>
  </si>
  <si>
    <t>Rain</t>
  </si>
  <si>
    <t>Pan evap</t>
  </si>
  <si>
    <t>Solar rad</t>
  </si>
  <si>
    <t>Jan</t>
  </si>
  <si>
    <t>Feb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</si>
  <si>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</si>
  <si>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</si>
  <si>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</si>
  <si>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</si>
  <si>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</si>
  <si>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</si>
  <si>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</si>
  <si>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</si>
  <si>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</si>
  <si>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Tmean</t>
  </si>
  <si>
    <r>
      <t>Irrig (mm  month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</si>
  <si>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>Wa</t>
  </si>
  <si>
    <t>Valores calculados de acordo com Sands and Landsberg (2002)</t>
  </si>
  <si>
    <t>Date planted =</t>
  </si>
  <si>
    <t>ScaleGPP</t>
  </si>
  <si>
    <t>excessSW</t>
  </si>
  <si>
    <t>pooledSW</t>
  </si>
  <si>
    <t>poolFractn</t>
  </si>
  <si>
    <t>ASW1</t>
  </si>
  <si>
    <t>ASW0</t>
  </si>
  <si>
    <t>Initial age =</t>
  </si>
  <si>
    <t>Initial date =</t>
  </si>
  <si>
    <t>Days in month</t>
  </si>
  <si>
    <t>PARÂMETROS USADOS NO TUNING</t>
  </si>
  <si>
    <t>FUNÇÃO OBJECTIVO</t>
  </si>
  <si>
    <t>W=</t>
  </si>
  <si>
    <t>Wl=</t>
  </si>
  <si>
    <t>Wr=</t>
  </si>
  <si>
    <t>Foliage:stem partitioning ratio @ d=2 cm</t>
  </si>
  <si>
    <t>Foliage:stem partitioning ratio @ d=20 cm</t>
  </si>
  <si>
    <t>E. Globulus Fontes</t>
  </si>
  <si>
    <t>Fontes</t>
  </si>
  <si>
    <t>Tunning</t>
  </si>
  <si>
    <t>MaxN</t>
  </si>
  <si>
    <t>self-thin</t>
  </si>
  <si>
    <t>RADint (MJ m-2)</t>
  </si>
  <si>
    <t>alphaC molC/molPAR</t>
  </si>
  <si>
    <r>
      <t>GPPdm (t ha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</si>
</sst>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[$-809]dd\ mmmm\ yyyy"/>
    <numFmt numFmtId="182" formatCode="[$-809]dd\ mmmm\ yyyy;@"/>
    <numFmt numFmtId="183" formatCode="yyyy\-mm\-dd;@"/>
    <numFmt numFmtId="184" formatCode="0.0"/>
    <numFmt numFmtId="185" formatCode="0.0000"/>
    <numFmt numFmtId="186" formatCode="0.00000000000"/>
    <numFmt numFmtId="187" formatCode="dd/mm/yyyy;@"/>
    <numFmt numFmtId="188" formatCode="0.00000000"/>
    <numFmt numFmtId="189" formatCode="0.0000000"/>
    <numFmt numFmtId="190" formatCode="0.000000"/>
    <numFmt numFmtId="191" formatCode="0.000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62">
    <font>
      <sz val="10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bscript"/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5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vertAlign val="superscript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4"/>
      <color indexed="18"/>
      <name val="Arial"/>
      <family val="2"/>
    </font>
    <font>
      <sz val="10"/>
      <color indexed="18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26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4" fillId="33" borderId="0" xfId="5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83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8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0" borderId="0" xfId="0" applyFont="1" applyFill="1" applyAlignment="1">
      <alignment/>
    </xf>
    <xf numFmtId="18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/>
    </xf>
    <xf numFmtId="185" fontId="0" fillId="34" borderId="0" xfId="0" applyNumberFormat="1" applyFill="1" applyAlignment="1">
      <alignment/>
    </xf>
    <xf numFmtId="185" fontId="13" fillId="34" borderId="0" xfId="0" applyNumberFormat="1" applyFont="1" applyFill="1" applyAlignment="1">
      <alignment horizontal="center" vertical="center" wrapText="1"/>
    </xf>
    <xf numFmtId="185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" fontId="13" fillId="34" borderId="0" xfId="0" applyNumberFormat="1" applyFont="1" applyFill="1" applyAlignment="1">
      <alignment horizontal="center" vertical="center" wrapText="1"/>
    </xf>
    <xf numFmtId="2" fontId="0" fillId="34" borderId="0" xfId="0" applyNumberFormat="1" applyFill="1" applyAlignment="1">
      <alignment horizontal="center"/>
    </xf>
    <xf numFmtId="0" fontId="11" fillId="0" borderId="0" xfId="0" applyFont="1" applyFill="1" applyAlignment="1">
      <alignment vertical="center"/>
    </xf>
    <xf numFmtId="2" fontId="11" fillId="34" borderId="0" xfId="0" applyNumberFormat="1" applyFont="1" applyFill="1" applyAlignment="1">
      <alignment vertical="center"/>
    </xf>
    <xf numFmtId="185" fontId="11" fillId="34" borderId="0" xfId="0" applyNumberFormat="1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2" fontId="11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185" fontId="13" fillId="0" borderId="14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183" fontId="13" fillId="0" borderId="13" xfId="0" applyNumberFormat="1" applyFont="1" applyFill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center" vertical="center" wrapText="1"/>
    </xf>
    <xf numFmtId="183" fontId="11" fillId="34" borderId="0" xfId="0" applyNumberFormat="1" applyFont="1" applyFill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183" fontId="0" fillId="0" borderId="17" xfId="0" applyNumberFormat="1" applyFill="1" applyBorder="1" applyAlignment="1">
      <alignment horizontal="center"/>
    </xf>
    <xf numFmtId="185" fontId="0" fillId="0" borderId="18" xfId="0" applyNumberFormat="1" applyFill="1" applyBorder="1" applyAlignment="1">
      <alignment horizontal="center"/>
    </xf>
    <xf numFmtId="183" fontId="0" fillId="0" borderId="19" xfId="0" applyNumberFormat="1" applyFill="1" applyBorder="1" applyAlignment="1">
      <alignment horizontal="center"/>
    </xf>
    <xf numFmtId="185" fontId="0" fillId="0" borderId="20" xfId="0" applyNumberFormat="1" applyFill="1" applyBorder="1" applyAlignment="1">
      <alignment horizontal="center"/>
    </xf>
    <xf numFmtId="185" fontId="0" fillId="0" borderId="20" xfId="0" applyNumberForma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/>
    </xf>
    <xf numFmtId="185" fontId="13" fillId="0" borderId="13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5" borderId="19" xfId="0" applyNumberFormat="1" applyFont="1" applyFill="1" applyBorder="1" applyAlignment="1">
      <alignment horizontal="center" vertical="center"/>
    </xf>
    <xf numFmtId="0" fontId="17" fillId="35" borderId="0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5" borderId="19" xfId="0" applyNumberFormat="1" applyFont="1" applyFill="1" applyBorder="1" applyAlignment="1">
      <alignment/>
    </xf>
    <xf numFmtId="0" fontId="2" fillId="35" borderId="0" xfId="57" applyFont="1" applyFill="1" applyBorder="1" applyAlignment="1">
      <alignment horizontal="right"/>
      <protection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11" fillId="35" borderId="19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11" fillId="35" borderId="0" xfId="0" applyNumberFormat="1" applyFont="1" applyFill="1" applyBorder="1" applyAlignment="1">
      <alignment horizontal="left"/>
    </xf>
    <xf numFmtId="0" fontId="0" fillId="35" borderId="19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57" applyFont="1" applyFill="1" applyBorder="1">
      <alignment/>
      <protection/>
    </xf>
    <xf numFmtId="1" fontId="11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 quotePrefix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3" fontId="0" fillId="0" borderId="0" xfId="0" applyNumberFormat="1" applyAlignment="1">
      <alignment/>
    </xf>
    <xf numFmtId="183" fontId="13" fillId="0" borderId="14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4" fillId="36" borderId="0" xfId="0" applyNumberFormat="1" applyFont="1" applyFill="1" applyBorder="1" applyAlignment="1">
      <alignment horizontal="right"/>
    </xf>
    <xf numFmtId="0" fontId="4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0" xfId="57" applyNumberFormat="1" applyFont="1" applyFill="1" applyBorder="1" applyAlignment="1">
      <alignment horizontal="center"/>
      <protection/>
    </xf>
    <xf numFmtId="180" fontId="4" fillId="36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left"/>
    </xf>
    <xf numFmtId="0" fontId="0" fillId="35" borderId="20" xfId="0" applyNumberForma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11" fillId="0" borderId="0" xfId="0" applyFont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184" fontId="13" fillId="0" borderId="15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191" fontId="0" fillId="0" borderId="0" xfId="0" applyNumberFormat="1" applyFill="1" applyAlignment="1">
      <alignment/>
    </xf>
    <xf numFmtId="185" fontId="0" fillId="37" borderId="0" xfId="0" applyNumberFormat="1" applyFill="1" applyAlignment="1">
      <alignment/>
    </xf>
    <xf numFmtId="1" fontId="14" fillId="0" borderId="15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center"/>
    </xf>
    <xf numFmtId="17" fontId="0" fillId="0" borderId="19" xfId="0" applyNumberFormat="1" applyFill="1" applyBorder="1" applyAlignment="1">
      <alignment horizontal="center"/>
    </xf>
    <xf numFmtId="17" fontId="11" fillId="34" borderId="0" xfId="0" applyNumberFormat="1" applyFont="1" applyFill="1" applyAlignment="1">
      <alignment horizontal="center" vertical="center"/>
    </xf>
    <xf numFmtId="17" fontId="13" fillId="0" borderId="13" xfId="0" applyNumberFormat="1" applyFont="1" applyFill="1" applyBorder="1" applyAlignment="1">
      <alignment horizontal="center" vertical="center" wrapText="1"/>
    </xf>
    <xf numFmtId="17" fontId="0" fillId="0" borderId="17" xfId="0" applyNumberForma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11" fillId="38" borderId="0" xfId="0" applyFont="1" applyFill="1" applyAlignment="1">
      <alignment/>
    </xf>
    <xf numFmtId="0" fontId="0" fillId="38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right"/>
    </xf>
    <xf numFmtId="0" fontId="4" fillId="38" borderId="0" xfId="0" applyNumberFormat="1" applyFont="1" applyFill="1" applyBorder="1" applyAlignment="1">
      <alignment horizontal="left"/>
    </xf>
    <xf numFmtId="0" fontId="4" fillId="38" borderId="0" xfId="57" applyNumberFormat="1" applyFont="1" applyFill="1" applyBorder="1" applyAlignment="1">
      <alignment horizontal="center"/>
      <protection/>
    </xf>
    <xf numFmtId="0" fontId="4" fillId="38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 horizontal="center"/>
    </xf>
    <xf numFmtId="0" fontId="11" fillId="35" borderId="0" xfId="0" applyFont="1" applyFill="1" applyAlignment="1">
      <alignment/>
    </xf>
    <xf numFmtId="0" fontId="11" fillId="38" borderId="0" xfId="0" applyFont="1" applyFill="1" applyAlignment="1">
      <alignment horizontal="center"/>
    </xf>
    <xf numFmtId="1" fontId="11" fillId="34" borderId="0" xfId="0" applyNumberFormat="1" applyFont="1" applyFill="1" applyAlignment="1">
      <alignment vertical="center"/>
    </xf>
    <xf numFmtId="1" fontId="13" fillId="0" borderId="1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vertical="center"/>
    </xf>
    <xf numFmtId="182" fontId="0" fillId="35" borderId="0" xfId="0" applyNumberFormat="1" applyFont="1" applyFill="1" applyBorder="1" applyAlignment="1">
      <alignment horizontal="left"/>
    </xf>
    <xf numFmtId="15" fontId="0" fillId="35" borderId="0" xfId="0" applyNumberForma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185" fontId="11" fillId="0" borderId="13" xfId="0" applyNumberFormat="1" applyFont="1" applyFill="1" applyBorder="1" applyAlignment="1">
      <alignment horizontal="center" vertical="center"/>
    </xf>
    <xf numFmtId="185" fontId="11" fillId="0" borderId="14" xfId="0" applyNumberFormat="1" applyFont="1" applyFill="1" applyBorder="1" applyAlignment="1">
      <alignment horizontal="center" vertical="center"/>
    </xf>
    <xf numFmtId="185" fontId="11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sdataSan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3075"/>
          <c:w val="0.8625"/>
          <c:h val="0.7852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'DadosReais&amp;Graficos'!$G$59:$G$70</c:f>
              <c:numCache>
                <c:ptCount val="12"/>
                <c:pt idx="0">
                  <c:v>50.02285120753074</c:v>
                </c:pt>
                <c:pt idx="1">
                  <c:v>78.13462072984947</c:v>
                </c:pt>
                <c:pt idx="2">
                  <c:v>92.82294963125844</c:v>
                </c:pt>
                <c:pt idx="3">
                  <c:v>107.84463020754544</c:v>
                </c:pt>
                <c:pt idx="4">
                  <c:v>124.84043253688128</c:v>
                </c:pt>
                <c:pt idx="5">
                  <c:v>146.89638372020994</c:v>
                </c:pt>
                <c:pt idx="6">
                  <c:v>165.2535229730755</c:v>
                </c:pt>
                <c:pt idx="7">
                  <c:v>183.24411889423294</c:v>
                </c:pt>
                <c:pt idx="8">
                  <c:v>196.95505171875206</c:v>
                </c:pt>
                <c:pt idx="9">
                  <c:v>201.2807011751174</c:v>
                </c:pt>
                <c:pt idx="10">
                  <c:v>214.86131883957557</c:v>
                </c:pt>
                <c:pt idx="11">
                  <c:v>216.23230066005067</c:v>
                </c:pt>
              </c:numCache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Year!$C$5:$C$16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Year!$G$5:$G$16</c:f>
              <c:numCache>
                <c:ptCount val="12"/>
                <c:pt idx="0">
                  <c:v>45.92</c:v>
                </c:pt>
                <c:pt idx="1">
                  <c:v>71.26254401437036</c:v>
                </c:pt>
                <c:pt idx="2">
                  <c:v>87.69484298646636</c:v>
                </c:pt>
                <c:pt idx="3">
                  <c:v>100.96925305065402</c:v>
                </c:pt>
                <c:pt idx="4">
                  <c:v>116.62425922843305</c:v>
                </c:pt>
                <c:pt idx="5">
                  <c:v>135.87406855213254</c:v>
                </c:pt>
                <c:pt idx="6">
                  <c:v>151.3972108370898</c:v>
                </c:pt>
                <c:pt idx="7">
                  <c:v>168.49538511874465</c:v>
                </c:pt>
                <c:pt idx="8">
                  <c:v>181.36235122750597</c:v>
                </c:pt>
                <c:pt idx="9">
                  <c:v>190.22209438870019</c:v>
                </c:pt>
                <c:pt idx="10">
                  <c:v>204.0368573681119</c:v>
                </c:pt>
                <c:pt idx="11">
                  <c:v>210.72585916482487</c:v>
                </c:pt>
              </c:numCache>
            </c:numRef>
          </c:yVal>
          <c:smooth val="1"/>
        </c:ser>
        <c:axId val="15957159"/>
        <c:axId val="9396704"/>
      </c:scatterChart>
      <c:val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 val="autoZero"/>
        <c:crossBetween val="midCat"/>
        <c:dispUnits/>
        <c:majorUnit val="2"/>
      </c:val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Aboveground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89275"/>
          <c:w val="0.56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27"/>
          <c:w val="0.871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/>
            </c:numRef>
          </c:xVal>
          <c:yVal>
            <c:numRef>
              <c:f>'DadosReais&amp;Graficos'!$K$59:$K$70</c:f>
              <c:numCache/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Month!$C$5:$C$149</c:f>
              <c:numCache>
                <c:ptCount val="145"/>
                <c:pt idx="0">
                  <c:v>6</c:v>
                </c:pt>
                <c:pt idx="1">
                  <c:v>6.083333333333333</c:v>
                </c:pt>
                <c:pt idx="2">
                  <c:v>6.166666666666666</c:v>
                </c:pt>
                <c:pt idx="3">
                  <c:v>6.249999999999999</c:v>
                </c:pt>
                <c:pt idx="4">
                  <c:v>6.333333333333332</c:v>
                </c:pt>
                <c:pt idx="5">
                  <c:v>6.416666666666665</c:v>
                </c:pt>
                <c:pt idx="6">
                  <c:v>6.499999999999998</c:v>
                </c:pt>
                <c:pt idx="7">
                  <c:v>6.583333333333331</c:v>
                </c:pt>
                <c:pt idx="8">
                  <c:v>6.666666666666664</c:v>
                </c:pt>
                <c:pt idx="9">
                  <c:v>6.749999999999997</c:v>
                </c:pt>
                <c:pt idx="10">
                  <c:v>6.83333333333333</c:v>
                </c:pt>
                <c:pt idx="11">
                  <c:v>6.916666666666663</c:v>
                </c:pt>
                <c:pt idx="12">
                  <c:v>6.9999999999999964</c:v>
                </c:pt>
                <c:pt idx="13">
                  <c:v>7.0833333333333295</c:v>
                </c:pt>
                <c:pt idx="14">
                  <c:v>7.1666666666666625</c:v>
                </c:pt>
                <c:pt idx="15">
                  <c:v>7.249999999999996</c:v>
                </c:pt>
                <c:pt idx="16">
                  <c:v>7.333333333333329</c:v>
                </c:pt>
                <c:pt idx="17">
                  <c:v>7.416666666666662</c:v>
                </c:pt>
                <c:pt idx="18">
                  <c:v>7.499999999999995</c:v>
                </c:pt>
                <c:pt idx="19">
                  <c:v>7.583333333333328</c:v>
                </c:pt>
                <c:pt idx="20">
                  <c:v>7.666666666666661</c:v>
                </c:pt>
                <c:pt idx="21">
                  <c:v>7.749999999999994</c:v>
                </c:pt>
                <c:pt idx="22">
                  <c:v>7.833333333333327</c:v>
                </c:pt>
                <c:pt idx="23">
                  <c:v>7.91666666666666</c:v>
                </c:pt>
                <c:pt idx="24">
                  <c:v>7.999999999999993</c:v>
                </c:pt>
                <c:pt idx="25">
                  <c:v>8.083333333333327</c:v>
                </c:pt>
                <c:pt idx="26">
                  <c:v>8.16666666666666</c:v>
                </c:pt>
                <c:pt idx="27">
                  <c:v>8.249999999999995</c:v>
                </c:pt>
                <c:pt idx="28">
                  <c:v>8.333333333333329</c:v>
                </c:pt>
                <c:pt idx="29">
                  <c:v>8.416666666666663</c:v>
                </c:pt>
                <c:pt idx="30">
                  <c:v>8.499999999999996</c:v>
                </c:pt>
                <c:pt idx="31">
                  <c:v>8.58333333333333</c:v>
                </c:pt>
                <c:pt idx="32">
                  <c:v>8.666666666666664</c:v>
                </c:pt>
                <c:pt idx="33">
                  <c:v>8.749999999999998</c:v>
                </c:pt>
                <c:pt idx="34">
                  <c:v>8.833333333333332</c:v>
                </c:pt>
                <c:pt idx="35">
                  <c:v>8.916666666666666</c:v>
                </c:pt>
                <c:pt idx="36">
                  <c:v>9</c:v>
                </c:pt>
                <c:pt idx="37">
                  <c:v>9.083333333333334</c:v>
                </c:pt>
                <c:pt idx="38">
                  <c:v>9.166666666666668</c:v>
                </c:pt>
                <c:pt idx="39">
                  <c:v>9.250000000000002</c:v>
                </c:pt>
                <c:pt idx="40">
                  <c:v>9.333333333333336</c:v>
                </c:pt>
                <c:pt idx="41">
                  <c:v>9.41666666666667</c:v>
                </c:pt>
                <c:pt idx="42">
                  <c:v>9.500000000000004</c:v>
                </c:pt>
                <c:pt idx="43">
                  <c:v>9.583333333333337</c:v>
                </c:pt>
                <c:pt idx="44">
                  <c:v>9.666666666666671</c:v>
                </c:pt>
                <c:pt idx="45">
                  <c:v>9.750000000000005</c:v>
                </c:pt>
                <c:pt idx="46">
                  <c:v>9.83333333333334</c:v>
                </c:pt>
                <c:pt idx="47">
                  <c:v>9.916666666666673</c:v>
                </c:pt>
                <c:pt idx="48">
                  <c:v>10.000000000000007</c:v>
                </c:pt>
                <c:pt idx="49">
                  <c:v>10.083333333333341</c:v>
                </c:pt>
                <c:pt idx="50">
                  <c:v>10.166666666666675</c:v>
                </c:pt>
                <c:pt idx="51">
                  <c:v>10.250000000000009</c:v>
                </c:pt>
                <c:pt idx="52">
                  <c:v>10.333333333333343</c:v>
                </c:pt>
                <c:pt idx="53">
                  <c:v>10.416666666666677</c:v>
                </c:pt>
                <c:pt idx="54">
                  <c:v>10.50000000000001</c:v>
                </c:pt>
                <c:pt idx="55">
                  <c:v>10.583333333333345</c:v>
                </c:pt>
                <c:pt idx="56">
                  <c:v>10.666666666666679</c:v>
                </c:pt>
                <c:pt idx="57">
                  <c:v>10.750000000000012</c:v>
                </c:pt>
                <c:pt idx="58">
                  <c:v>10.833333333333346</c:v>
                </c:pt>
                <c:pt idx="59">
                  <c:v>10.91666666666668</c:v>
                </c:pt>
                <c:pt idx="60">
                  <c:v>11.000000000000014</c:v>
                </c:pt>
                <c:pt idx="61">
                  <c:v>11.083333333333348</c:v>
                </c:pt>
                <c:pt idx="62">
                  <c:v>11.166666666666682</c:v>
                </c:pt>
                <c:pt idx="63">
                  <c:v>11.250000000000016</c:v>
                </c:pt>
                <c:pt idx="64">
                  <c:v>11.33333333333335</c:v>
                </c:pt>
                <c:pt idx="65">
                  <c:v>11.416666666666684</c:v>
                </c:pt>
                <c:pt idx="66">
                  <c:v>11.500000000000018</c:v>
                </c:pt>
                <c:pt idx="67">
                  <c:v>11.583333333333352</c:v>
                </c:pt>
                <c:pt idx="68">
                  <c:v>11.666666666666686</c:v>
                </c:pt>
                <c:pt idx="69">
                  <c:v>11.75000000000002</c:v>
                </c:pt>
                <c:pt idx="70">
                  <c:v>11.833333333333353</c:v>
                </c:pt>
                <c:pt idx="71">
                  <c:v>11.916666666666687</c:v>
                </c:pt>
                <c:pt idx="72">
                  <c:v>12.000000000000021</c:v>
                </c:pt>
                <c:pt idx="73">
                  <c:v>12.083333333333355</c:v>
                </c:pt>
                <c:pt idx="74">
                  <c:v>12.16666666666669</c:v>
                </c:pt>
                <c:pt idx="75">
                  <c:v>12.250000000000023</c:v>
                </c:pt>
                <c:pt idx="76">
                  <c:v>12.333333333333357</c:v>
                </c:pt>
                <c:pt idx="77">
                  <c:v>12.416666666666691</c:v>
                </c:pt>
                <c:pt idx="78">
                  <c:v>12.500000000000025</c:v>
                </c:pt>
                <c:pt idx="79">
                  <c:v>12.583333333333359</c:v>
                </c:pt>
                <c:pt idx="80">
                  <c:v>12.666666666666693</c:v>
                </c:pt>
                <c:pt idx="81">
                  <c:v>12.750000000000027</c:v>
                </c:pt>
                <c:pt idx="82">
                  <c:v>12.83333333333336</c:v>
                </c:pt>
                <c:pt idx="83">
                  <c:v>12.916666666666694</c:v>
                </c:pt>
                <c:pt idx="84">
                  <c:v>13.000000000000028</c:v>
                </c:pt>
                <c:pt idx="85">
                  <c:v>13.083333333333362</c:v>
                </c:pt>
                <c:pt idx="86">
                  <c:v>13.166666666666696</c:v>
                </c:pt>
                <c:pt idx="87">
                  <c:v>13.25000000000003</c:v>
                </c:pt>
                <c:pt idx="88">
                  <c:v>13.333333333333364</c:v>
                </c:pt>
                <c:pt idx="89">
                  <c:v>13.416666666666698</c:v>
                </c:pt>
                <c:pt idx="90">
                  <c:v>13.500000000000032</c:v>
                </c:pt>
                <c:pt idx="91">
                  <c:v>13.583333333333366</c:v>
                </c:pt>
                <c:pt idx="92">
                  <c:v>13.6666666666667</c:v>
                </c:pt>
                <c:pt idx="93">
                  <c:v>13.750000000000034</c:v>
                </c:pt>
                <c:pt idx="94">
                  <c:v>13.833333333333368</c:v>
                </c:pt>
                <c:pt idx="95">
                  <c:v>13.916666666666702</c:v>
                </c:pt>
                <c:pt idx="96">
                  <c:v>14.000000000000036</c:v>
                </c:pt>
                <c:pt idx="97">
                  <c:v>14.08333333333337</c:v>
                </c:pt>
                <c:pt idx="98">
                  <c:v>14.166666666666703</c:v>
                </c:pt>
                <c:pt idx="99">
                  <c:v>14.250000000000037</c:v>
                </c:pt>
                <c:pt idx="100">
                  <c:v>14.333333333333371</c:v>
                </c:pt>
                <c:pt idx="101">
                  <c:v>14.416666666666705</c:v>
                </c:pt>
                <c:pt idx="102">
                  <c:v>14.500000000000039</c:v>
                </c:pt>
                <c:pt idx="103">
                  <c:v>14.583333333333373</c:v>
                </c:pt>
                <c:pt idx="104">
                  <c:v>14.666666666666707</c:v>
                </c:pt>
                <c:pt idx="105">
                  <c:v>14.75000000000004</c:v>
                </c:pt>
                <c:pt idx="106">
                  <c:v>14.833333333333375</c:v>
                </c:pt>
                <c:pt idx="107">
                  <c:v>14.916666666666709</c:v>
                </c:pt>
                <c:pt idx="108">
                  <c:v>15.000000000000043</c:v>
                </c:pt>
                <c:pt idx="109">
                  <c:v>15.083333333333377</c:v>
                </c:pt>
                <c:pt idx="110">
                  <c:v>15.16666666666671</c:v>
                </c:pt>
                <c:pt idx="111">
                  <c:v>15.250000000000044</c:v>
                </c:pt>
                <c:pt idx="112">
                  <c:v>15.333333333333378</c:v>
                </c:pt>
                <c:pt idx="113">
                  <c:v>15.416666666666712</c:v>
                </c:pt>
                <c:pt idx="114">
                  <c:v>15.500000000000046</c:v>
                </c:pt>
                <c:pt idx="115">
                  <c:v>15.58333333333338</c:v>
                </c:pt>
                <c:pt idx="116">
                  <c:v>15.666666666666714</c:v>
                </c:pt>
                <c:pt idx="117">
                  <c:v>15.750000000000048</c:v>
                </c:pt>
                <c:pt idx="118">
                  <c:v>15.833333333333382</c:v>
                </c:pt>
                <c:pt idx="119">
                  <c:v>15.916666666666716</c:v>
                </c:pt>
                <c:pt idx="120">
                  <c:v>16.00000000000005</c:v>
                </c:pt>
                <c:pt idx="121">
                  <c:v>16.083333333333382</c:v>
                </c:pt>
                <c:pt idx="122">
                  <c:v>16.166666666666714</c:v>
                </c:pt>
                <c:pt idx="123">
                  <c:v>16.250000000000046</c:v>
                </c:pt>
                <c:pt idx="124">
                  <c:v>16.33333333333338</c:v>
                </c:pt>
                <c:pt idx="125">
                  <c:v>16.41666666666671</c:v>
                </c:pt>
                <c:pt idx="126">
                  <c:v>16.500000000000043</c:v>
                </c:pt>
                <c:pt idx="127">
                  <c:v>16.583333333333375</c:v>
                </c:pt>
                <c:pt idx="128">
                  <c:v>16.666666666666707</c:v>
                </c:pt>
                <c:pt idx="129">
                  <c:v>16.75000000000004</c:v>
                </c:pt>
                <c:pt idx="130">
                  <c:v>16.83333333333337</c:v>
                </c:pt>
                <c:pt idx="131">
                  <c:v>16.916666666666703</c:v>
                </c:pt>
                <c:pt idx="132">
                  <c:v>17.000000000000036</c:v>
                </c:pt>
                <c:pt idx="133">
                  <c:v>17.083333333333368</c:v>
                </c:pt>
                <c:pt idx="134">
                  <c:v>17.1666666666667</c:v>
                </c:pt>
                <c:pt idx="135">
                  <c:v>17.250000000000032</c:v>
                </c:pt>
                <c:pt idx="136">
                  <c:v>17.333333333333364</c:v>
                </c:pt>
                <c:pt idx="137">
                  <c:v>17.416666666666696</c:v>
                </c:pt>
                <c:pt idx="138">
                  <c:v>17.50000000000003</c:v>
                </c:pt>
                <c:pt idx="139">
                  <c:v>17.58333333333336</c:v>
                </c:pt>
                <c:pt idx="140">
                  <c:v>17.666666666666693</c:v>
                </c:pt>
                <c:pt idx="141">
                  <c:v>17.750000000000025</c:v>
                </c:pt>
                <c:pt idx="142">
                  <c:v>17.833333333333357</c:v>
                </c:pt>
                <c:pt idx="143">
                  <c:v>17.91666666666669</c:v>
                </c:pt>
                <c:pt idx="144">
                  <c:v>18.00000000000002</c:v>
                </c:pt>
              </c:numCache>
            </c:numRef>
          </c:xVal>
          <c:yVal>
            <c:numRef>
              <c:f>Month!$Y$5:$Y$149</c:f>
              <c:numCache>
                <c:ptCount val="145"/>
                <c:pt idx="0">
                  <c:v>11.539288290996396</c:v>
                </c:pt>
                <c:pt idx="1">
                  <c:v>11.988323966090675</c:v>
                </c:pt>
                <c:pt idx="2">
                  <c:v>12.687829587933663</c:v>
                </c:pt>
                <c:pt idx="3">
                  <c:v>13.225442537827448</c:v>
                </c:pt>
                <c:pt idx="4">
                  <c:v>13.689177520410267</c:v>
                </c:pt>
                <c:pt idx="5">
                  <c:v>13.689177520410267</c:v>
                </c:pt>
                <c:pt idx="6">
                  <c:v>13.700769428473594</c:v>
                </c:pt>
                <c:pt idx="7">
                  <c:v>13.721177511719276</c:v>
                </c:pt>
                <c:pt idx="8">
                  <c:v>13.761966522046862</c:v>
                </c:pt>
                <c:pt idx="9">
                  <c:v>13.771926136730952</c:v>
                </c:pt>
                <c:pt idx="10">
                  <c:v>13.91675071481892</c:v>
                </c:pt>
                <c:pt idx="11">
                  <c:v>14.164720687796608</c:v>
                </c:pt>
                <c:pt idx="12">
                  <c:v>14.56468001025056</c:v>
                </c:pt>
                <c:pt idx="13">
                  <c:v>15.09377862428304</c:v>
                </c:pt>
                <c:pt idx="14">
                  <c:v>15.500192825455915</c:v>
                </c:pt>
                <c:pt idx="15">
                  <c:v>15.552615807185457</c:v>
                </c:pt>
                <c:pt idx="16">
                  <c:v>15.605366094343257</c:v>
                </c:pt>
                <c:pt idx="17">
                  <c:v>15.646633205013316</c:v>
                </c:pt>
                <c:pt idx="18">
                  <c:v>15.671989540451655</c:v>
                </c:pt>
                <c:pt idx="19">
                  <c:v>15.766218649980047</c:v>
                </c:pt>
                <c:pt idx="20">
                  <c:v>15.84709210469377</c:v>
                </c:pt>
                <c:pt idx="21">
                  <c:v>15.967336880809253</c:v>
                </c:pt>
                <c:pt idx="22">
                  <c:v>16.053922983632255</c:v>
                </c:pt>
                <c:pt idx="23">
                  <c:v>16.178914809483352</c:v>
                </c:pt>
                <c:pt idx="24">
                  <c:v>16.599800912969915</c:v>
                </c:pt>
                <c:pt idx="25">
                  <c:v>16.752518358405073</c:v>
                </c:pt>
                <c:pt idx="26">
                  <c:v>17.3977866746561</c:v>
                </c:pt>
                <c:pt idx="27">
                  <c:v>17.935434221732123</c:v>
                </c:pt>
                <c:pt idx="28">
                  <c:v>17.950227878174573</c:v>
                </c:pt>
                <c:pt idx="29">
                  <c:v>17.964525639523327</c:v>
                </c:pt>
                <c:pt idx="30">
                  <c:v>17.9743541298031</c:v>
                </c:pt>
                <c:pt idx="31">
                  <c:v>17.983549309023523</c:v>
                </c:pt>
                <c:pt idx="32">
                  <c:v>17.98975369584014</c:v>
                </c:pt>
                <c:pt idx="33">
                  <c:v>18.119518237009142</c:v>
                </c:pt>
                <c:pt idx="34">
                  <c:v>18.231978418967</c:v>
                </c:pt>
                <c:pt idx="35">
                  <c:v>18.353768543787645</c:v>
                </c:pt>
                <c:pt idx="36">
                  <c:v>18.6135724258129</c:v>
                </c:pt>
                <c:pt idx="37">
                  <c:v>19.122448612910972</c:v>
                </c:pt>
                <c:pt idx="38">
                  <c:v>19.683871664626395</c:v>
                </c:pt>
                <c:pt idx="39">
                  <c:v>20.25626453726234</c:v>
                </c:pt>
                <c:pt idx="40">
                  <c:v>20.349023817172395</c:v>
                </c:pt>
                <c:pt idx="41">
                  <c:v>20.387516182287694</c:v>
                </c:pt>
                <c:pt idx="42">
                  <c:v>20.40931505705601</c:v>
                </c:pt>
                <c:pt idx="43">
                  <c:v>20.421108173210754</c:v>
                </c:pt>
                <c:pt idx="44">
                  <c:v>20.45764783062647</c:v>
                </c:pt>
                <c:pt idx="45">
                  <c:v>20.60312889204547</c:v>
                </c:pt>
                <c:pt idx="46">
                  <c:v>20.657147838537014</c:v>
                </c:pt>
                <c:pt idx="47">
                  <c:v>20.857873217556257</c:v>
                </c:pt>
                <c:pt idx="48">
                  <c:v>21.192366640889997</c:v>
                </c:pt>
                <c:pt idx="49">
                  <c:v>21.671621352056825</c:v>
                </c:pt>
                <c:pt idx="50">
                  <c:v>22.222304649322016</c:v>
                </c:pt>
                <c:pt idx="51">
                  <c:v>22.820414345473246</c:v>
                </c:pt>
                <c:pt idx="52">
                  <c:v>22.82917023418296</c:v>
                </c:pt>
                <c:pt idx="53">
                  <c:v>22.82917023418296</c:v>
                </c:pt>
                <c:pt idx="54">
                  <c:v>22.838936985917982</c:v>
                </c:pt>
                <c:pt idx="55">
                  <c:v>22.851928094072242</c:v>
                </c:pt>
                <c:pt idx="56">
                  <c:v>22.857612209363115</c:v>
                </c:pt>
                <c:pt idx="57">
                  <c:v>22.979168549344244</c:v>
                </c:pt>
                <c:pt idx="58">
                  <c:v>23.112684673383935</c:v>
                </c:pt>
                <c:pt idx="59">
                  <c:v>23.275467224801524</c:v>
                </c:pt>
                <c:pt idx="60">
                  <c:v>23.638578094975845</c:v>
                </c:pt>
                <c:pt idx="61">
                  <c:v>24.022553959523766</c:v>
                </c:pt>
                <c:pt idx="62">
                  <c:v>24.686815429050025</c:v>
                </c:pt>
                <c:pt idx="63">
                  <c:v>24.78512783848347</c:v>
                </c:pt>
                <c:pt idx="64">
                  <c:v>24.817786722037884</c:v>
                </c:pt>
                <c:pt idx="65">
                  <c:v>24.8366779263979</c:v>
                </c:pt>
                <c:pt idx="66">
                  <c:v>24.846582324680757</c:v>
                </c:pt>
                <c:pt idx="67">
                  <c:v>24.943695022876884</c:v>
                </c:pt>
                <c:pt idx="68">
                  <c:v>24.98738467471035</c:v>
                </c:pt>
                <c:pt idx="69">
                  <c:v>25.094135977219498</c:v>
                </c:pt>
                <c:pt idx="70">
                  <c:v>25.189959884946443</c:v>
                </c:pt>
                <c:pt idx="71">
                  <c:v>25.359341234548072</c:v>
                </c:pt>
                <c:pt idx="72">
                  <c:v>25.725755948599176</c:v>
                </c:pt>
                <c:pt idx="73">
                  <c:v>26.188145805998435</c:v>
                </c:pt>
                <c:pt idx="74">
                  <c:v>26.696764909652163</c:v>
                </c:pt>
                <c:pt idx="75">
                  <c:v>26.71221981168582</c:v>
                </c:pt>
                <c:pt idx="76">
                  <c:v>26.732149838519604</c:v>
                </c:pt>
                <c:pt idx="77">
                  <c:v>26.74527491425534</c:v>
                </c:pt>
                <c:pt idx="78">
                  <c:v>26.75970117112553</c:v>
                </c:pt>
                <c:pt idx="79">
                  <c:v>26.866421757292322</c:v>
                </c:pt>
                <c:pt idx="80">
                  <c:v>27.04408422210018</c:v>
                </c:pt>
                <c:pt idx="81">
                  <c:v>27.18139086259237</c:v>
                </c:pt>
                <c:pt idx="82">
                  <c:v>27.333109288495436</c:v>
                </c:pt>
                <c:pt idx="83">
                  <c:v>27.507851899160848</c:v>
                </c:pt>
                <c:pt idx="84">
                  <c:v>27.86694586324986</c:v>
                </c:pt>
                <c:pt idx="85">
                  <c:v>28.32309262919066</c:v>
                </c:pt>
                <c:pt idx="86">
                  <c:v>28.869132004418333</c:v>
                </c:pt>
                <c:pt idx="87">
                  <c:v>29.20145534178542</c:v>
                </c:pt>
                <c:pt idx="88">
                  <c:v>29.53857971492426</c:v>
                </c:pt>
                <c:pt idx="89">
                  <c:v>29.58417875413767</c:v>
                </c:pt>
                <c:pt idx="90">
                  <c:v>29.601629434853194</c:v>
                </c:pt>
                <c:pt idx="91">
                  <c:v>29.61174304453179</c:v>
                </c:pt>
                <c:pt idx="92">
                  <c:v>29.695943125069245</c:v>
                </c:pt>
                <c:pt idx="93">
                  <c:v>29.73330420423888</c:v>
                </c:pt>
                <c:pt idx="94">
                  <c:v>29.74485938066456</c:v>
                </c:pt>
                <c:pt idx="95">
                  <c:v>29.79490251349077</c:v>
                </c:pt>
                <c:pt idx="96">
                  <c:v>30.160103968012738</c:v>
                </c:pt>
                <c:pt idx="97">
                  <c:v>30.298528976926807</c:v>
                </c:pt>
                <c:pt idx="98">
                  <c:v>30.83135207690638</c:v>
                </c:pt>
                <c:pt idx="99">
                  <c:v>30.863257541917182</c:v>
                </c:pt>
                <c:pt idx="100">
                  <c:v>30.8729989164186</c:v>
                </c:pt>
                <c:pt idx="101">
                  <c:v>30.87631374420939</c:v>
                </c:pt>
                <c:pt idx="102">
                  <c:v>30.88538683258399</c:v>
                </c:pt>
                <c:pt idx="103">
                  <c:v>30.893350492180698</c:v>
                </c:pt>
                <c:pt idx="104">
                  <c:v>31.001769849358535</c:v>
                </c:pt>
                <c:pt idx="105">
                  <c:v>31.132925141008933</c:v>
                </c:pt>
                <c:pt idx="106">
                  <c:v>31.236358092568683</c:v>
                </c:pt>
                <c:pt idx="107">
                  <c:v>31.494554710149966</c:v>
                </c:pt>
                <c:pt idx="108">
                  <c:v>31.845789856376932</c:v>
                </c:pt>
                <c:pt idx="109">
                  <c:v>32.25955781149487</c:v>
                </c:pt>
                <c:pt idx="110">
                  <c:v>32.62412373437466</c:v>
                </c:pt>
                <c:pt idx="111">
                  <c:v>32.632411755835115</c:v>
                </c:pt>
                <c:pt idx="112">
                  <c:v>32.645666397718486</c:v>
                </c:pt>
                <c:pt idx="113">
                  <c:v>32.654797299565175</c:v>
                </c:pt>
                <c:pt idx="114">
                  <c:v>32.66448009080342</c:v>
                </c:pt>
                <c:pt idx="115">
                  <c:v>32.67787326318973</c:v>
                </c:pt>
                <c:pt idx="116">
                  <c:v>32.88644387368164</c:v>
                </c:pt>
                <c:pt idx="117">
                  <c:v>32.98833861724919</c:v>
                </c:pt>
                <c:pt idx="118">
                  <c:v>33.066610836892146</c:v>
                </c:pt>
                <c:pt idx="119">
                  <c:v>33.17842831657169</c:v>
                </c:pt>
                <c:pt idx="120">
                  <c:v>33.505673096247605</c:v>
                </c:pt>
                <c:pt idx="121">
                  <c:v>33.93680787187893</c:v>
                </c:pt>
                <c:pt idx="122">
                  <c:v>34.377892052667036</c:v>
                </c:pt>
                <c:pt idx="123">
                  <c:v>34.38939627875305</c:v>
                </c:pt>
                <c:pt idx="124">
                  <c:v>34.39489266141488</c:v>
                </c:pt>
                <c:pt idx="125">
                  <c:v>34.40702938585233</c:v>
                </c:pt>
                <c:pt idx="126">
                  <c:v>34.45923591353611</c:v>
                </c:pt>
                <c:pt idx="127">
                  <c:v>34.53807066845925</c:v>
                </c:pt>
                <c:pt idx="128">
                  <c:v>34.65517341262959</c:v>
                </c:pt>
                <c:pt idx="129">
                  <c:v>34.727493361847095</c:v>
                </c:pt>
                <c:pt idx="130">
                  <c:v>34.74262265666722</c:v>
                </c:pt>
                <c:pt idx="131">
                  <c:v>34.79326994690303</c:v>
                </c:pt>
                <c:pt idx="132">
                  <c:v>34.85727332795298</c:v>
                </c:pt>
                <c:pt idx="133">
                  <c:v>34.91133813071694</c:v>
                </c:pt>
                <c:pt idx="134">
                  <c:v>35.1817330994878</c:v>
                </c:pt>
                <c:pt idx="135">
                  <c:v>35.21470064030325</c:v>
                </c:pt>
                <c:pt idx="136">
                  <c:v>35.29871807026024</c:v>
                </c:pt>
                <c:pt idx="137">
                  <c:v>35.31820049891215</c:v>
                </c:pt>
                <c:pt idx="138">
                  <c:v>35.34025463562315</c:v>
                </c:pt>
                <c:pt idx="139">
                  <c:v>35.3734868305145</c:v>
                </c:pt>
                <c:pt idx="140">
                  <c:v>35.50260367729413</c:v>
                </c:pt>
                <c:pt idx="141">
                  <c:v>35.53446297632724</c:v>
                </c:pt>
                <c:pt idx="142">
                  <c:v>35.58082515654225</c:v>
                </c:pt>
                <c:pt idx="143">
                  <c:v>35.63450623567336</c:v>
                </c:pt>
              </c:numCache>
            </c:numRef>
          </c:yVal>
          <c:smooth val="1"/>
        </c:ser>
        <c:axId val="37431089"/>
        <c:axId val="1335482"/>
      </c:scatterChart>
      <c:valAx>
        <c:axId val="3743108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 val="autoZero"/>
        <c:crossBetween val="midCat"/>
        <c:dispUnits/>
        <c:majorUnit val="2"/>
      </c:valAx>
      <c:valAx>
        <c:axId val="13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Basal area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07"/>
          <c:w val="0.53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3075"/>
          <c:w val="0.86675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'DadosReais&amp;Graficos'!$D$59:$D$70</c:f>
              <c:numCache>
                <c:ptCount val="12"/>
                <c:pt idx="0">
                  <c:v>5.578</c:v>
                </c:pt>
                <c:pt idx="1">
                  <c:v>6.713</c:v>
                </c:pt>
                <c:pt idx="2">
                  <c:v>7.142</c:v>
                </c:pt>
                <c:pt idx="3">
                  <c:v>7.497</c:v>
                </c:pt>
                <c:pt idx="4">
                  <c:v>7.789</c:v>
                </c:pt>
                <c:pt idx="5">
                  <c:v>8.0226</c:v>
                </c:pt>
                <c:pt idx="6">
                  <c:v>8.216</c:v>
                </c:pt>
                <c:pt idx="7">
                  <c:v>8.365</c:v>
                </c:pt>
                <c:pt idx="8">
                  <c:v>8.478</c:v>
                </c:pt>
                <c:pt idx="9">
                  <c:v>8.561</c:v>
                </c:pt>
                <c:pt idx="10">
                  <c:v>8.617</c:v>
                </c:pt>
                <c:pt idx="11">
                  <c:v>8.649</c:v>
                </c:pt>
              </c:numCache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Year!$C$5:$C$16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Year!$E$5:$E$16</c:f>
              <c:numCache>
                <c:ptCount val="12"/>
                <c:pt idx="0">
                  <c:v>5.58</c:v>
                </c:pt>
                <c:pt idx="1">
                  <c:v>6.7206258986402165</c:v>
                </c:pt>
                <c:pt idx="2">
                  <c:v>7.124990766957302</c:v>
                </c:pt>
                <c:pt idx="3">
                  <c:v>7.523964005026846</c:v>
                </c:pt>
                <c:pt idx="4">
                  <c:v>7.972544019273323</c:v>
                </c:pt>
                <c:pt idx="5">
                  <c:v>8.27359597195894</c:v>
                </c:pt>
                <c:pt idx="6">
                  <c:v>8.460626110649525</c:v>
                </c:pt>
                <c:pt idx="7">
                  <c:v>8.700170965474433</c:v>
                </c:pt>
                <c:pt idx="8">
                  <c:v>8.55648493070836</c:v>
                </c:pt>
                <c:pt idx="9">
                  <c:v>8.364018841032477</c:v>
                </c:pt>
                <c:pt idx="10">
                  <c:v>8.188734277747997</c:v>
                </c:pt>
                <c:pt idx="11">
                  <c:v>7.5539495991522045</c:v>
                </c:pt>
              </c:numCache>
            </c:numRef>
          </c:yVal>
          <c:smooth val="1"/>
        </c:ser>
        <c:axId val="17461473"/>
        <c:axId val="22935530"/>
      </c:scatterChart>
      <c:val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 val="autoZero"/>
        <c:crossBetween val="midCat"/>
        <c:dispUnits/>
        <c:majorUnit val="2"/>
      </c:val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898"/>
          <c:w val="0.563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3025"/>
          <c:w val="0.86275"/>
          <c:h val="0.787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'DadosReais&amp;Graficos'!$E$59:$E$70</c:f>
              <c:numCache>
                <c:ptCount val="12"/>
                <c:pt idx="0">
                  <c:v>12.81</c:v>
                </c:pt>
                <c:pt idx="1">
                  <c:v>19.36</c:v>
                </c:pt>
                <c:pt idx="2">
                  <c:v>22.56</c:v>
                </c:pt>
                <c:pt idx="3">
                  <c:v>25.69</c:v>
                </c:pt>
                <c:pt idx="4">
                  <c:v>28.73</c:v>
                </c:pt>
                <c:pt idx="5">
                  <c:v>31.66</c:v>
                </c:pt>
                <c:pt idx="6">
                  <c:v>34.48</c:v>
                </c:pt>
                <c:pt idx="7">
                  <c:v>37.2</c:v>
                </c:pt>
                <c:pt idx="8">
                  <c:v>39.81</c:v>
                </c:pt>
                <c:pt idx="9">
                  <c:v>42.32</c:v>
                </c:pt>
                <c:pt idx="10">
                  <c:v>44.72</c:v>
                </c:pt>
                <c:pt idx="11">
                  <c:v>47.64</c:v>
                </c:pt>
              </c:numCache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Year!$C$5:$C$16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Year!$F$5:$F$16</c:f>
              <c:numCache>
                <c:ptCount val="12"/>
                <c:pt idx="0">
                  <c:v>12.81</c:v>
                </c:pt>
                <c:pt idx="1">
                  <c:v>19.837998472047104</c:v>
                </c:pt>
                <c:pt idx="2">
                  <c:v>22.82868993804088</c:v>
                </c:pt>
                <c:pt idx="3">
                  <c:v>25.61472677701555</c:v>
                </c:pt>
                <c:pt idx="4">
                  <c:v>28.248112286964993</c:v>
                </c:pt>
                <c:pt idx="5">
                  <c:v>31.284003860233202</c:v>
                </c:pt>
                <c:pt idx="6">
                  <c:v>33.32219988102278</c:v>
                </c:pt>
                <c:pt idx="7">
                  <c:v>36.188084152013396</c:v>
                </c:pt>
                <c:pt idx="8">
                  <c:v>37.05421235707096</c:v>
                </c:pt>
                <c:pt idx="9">
                  <c:v>37.29177189165381</c:v>
                </c:pt>
                <c:pt idx="10">
                  <c:v>37.9652605311614</c:v>
                </c:pt>
                <c:pt idx="11">
                  <c:v>37.42191341059623</c:v>
                </c:pt>
              </c:numCache>
            </c:numRef>
          </c:yVal>
          <c:smooth val="1"/>
        </c:ser>
        <c:axId val="5093179"/>
        <c:axId val="45838612"/>
      </c:scatterChart>
      <c:val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 val="autoZero"/>
        <c:crossBetween val="midCat"/>
        <c:dispUnits/>
        <c:majorUnit val="2"/>
      </c:valAx>
      <c:valAx>
        <c:axId val="4583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Root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975"/>
          <c:w val="0.565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15"/>
          <c:w val="0.86725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'DadosReais&amp;Graficos'!$I$59:$I$70</c:f>
              <c:numCache>
                <c:ptCount val="12"/>
                <c:pt idx="0">
                  <c:v>81.91340346358936</c:v>
                </c:pt>
                <c:pt idx="1">
                  <c:v>128.53953686924353</c:v>
                </c:pt>
                <c:pt idx="2">
                  <c:v>152.39545883355365</c:v>
                </c:pt>
                <c:pt idx="3">
                  <c:v>176.3435996509667</c:v>
                </c:pt>
                <c:pt idx="4">
                  <c:v>203.11317907243097</c:v>
                </c:pt>
                <c:pt idx="5">
                  <c:v>237.25047207473258</c:v>
                </c:pt>
                <c:pt idx="6">
                  <c:v>265.69853020633934</c:v>
                </c:pt>
                <c:pt idx="7">
                  <c:v>292.87826500605325</c:v>
                </c:pt>
                <c:pt idx="8">
                  <c:v>313.4388227323774</c:v>
                </c:pt>
                <c:pt idx="9">
                  <c:v>320.4352512287246</c:v>
                </c:pt>
                <c:pt idx="10">
                  <c:v>341.00065676477</c:v>
                </c:pt>
                <c:pt idx="11">
                  <c:v>343.384956098624</c:v>
                </c:pt>
              </c:numCache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Year!$C$5:$C$16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Year!$O$5:$O$16</c:f>
              <c:numCache>
                <c:ptCount val="12"/>
                <c:pt idx="0">
                  <c:v>79.08444444444444</c:v>
                </c:pt>
                <c:pt idx="1">
                  <c:v>128.13099797461047</c:v>
                </c:pt>
                <c:pt idx="2">
                  <c:v>160.47834635075702</c:v>
                </c:pt>
                <c:pt idx="3">
                  <c:v>186.26248365378288</c:v>
                </c:pt>
                <c:pt idx="4">
                  <c:v>216.5432008671665</c:v>
                </c:pt>
                <c:pt idx="5">
                  <c:v>253.8203086147476</c:v>
                </c:pt>
                <c:pt idx="6">
                  <c:v>283.742217808205</c:v>
                </c:pt>
                <c:pt idx="7">
                  <c:v>316.51390051819743</c:v>
                </c:pt>
                <c:pt idx="8">
                  <c:v>341.2374702171824</c:v>
                </c:pt>
                <c:pt idx="9">
                  <c:v>358.2279907992046</c:v>
                </c:pt>
                <c:pt idx="10">
                  <c:v>384.60683336024005</c:v>
                </c:pt>
                <c:pt idx="11">
                  <c:v>397.4563374394288</c:v>
                </c:pt>
              </c:numCache>
            </c:numRef>
          </c:yVal>
          <c:smooth val="1"/>
        </c:ser>
        <c:axId val="9894325"/>
        <c:axId val="21940062"/>
      </c:scatterChart>
      <c:val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062"/>
        <c:crosses val="autoZero"/>
        <c:crossBetween val="midCat"/>
        <c:dispUnits/>
        <c:majorUnit val="2"/>
      </c:val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volume under bark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89675"/>
          <c:w val="0.549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2975"/>
          <c:w val="0.86875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'DadosReais&amp;Graficos'!$K$59:$K$70</c:f>
              <c:numCache>
                <c:ptCount val="12"/>
                <c:pt idx="0">
                  <c:v>12.210271642567182</c:v>
                </c:pt>
                <c:pt idx="1">
                  <c:v>16.657071430979677</c:v>
                </c:pt>
                <c:pt idx="2">
                  <c:v>18.805474627193714</c:v>
                </c:pt>
                <c:pt idx="3">
                  <c:v>20.523831130313727</c:v>
                </c:pt>
                <c:pt idx="4">
                  <c:v>22.425089344688384</c:v>
                </c:pt>
                <c:pt idx="5">
                  <c:v>24.871919144456072</c:v>
                </c:pt>
                <c:pt idx="6">
                  <c:v>26.789368808719903</c:v>
                </c:pt>
                <c:pt idx="7">
                  <c:v>28.260252123428703</c:v>
                </c:pt>
                <c:pt idx="8">
                  <c:v>29.34671508085659</c:v>
                </c:pt>
                <c:pt idx="9">
                  <c:v>29.8388488443439</c:v>
                </c:pt>
                <c:pt idx="10">
                  <c:v>31.19690319410868</c:v>
                </c:pt>
                <c:pt idx="11">
                  <c:v>31.349490427220545</c:v>
                </c:pt>
              </c:numCache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Year!$C$5:$C$16</c:f>
              <c:numCach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16.9</c:v>
                </c:pt>
                <c:pt idx="11">
                  <c:v>17.9</c:v>
                </c:pt>
              </c:numCache>
            </c:numRef>
          </c:xVal>
          <c:yVal>
            <c:numRef>
              <c:f>Year!$Q$5:$Q$16</c:f>
              <c:numCache>
                <c:ptCount val="12"/>
                <c:pt idx="0">
                  <c:v>11.539288290996396</c:v>
                </c:pt>
                <c:pt idx="1">
                  <c:v>15.967336880809253</c:v>
                </c:pt>
                <c:pt idx="2">
                  <c:v>18.6135724258129</c:v>
                </c:pt>
                <c:pt idx="3">
                  <c:v>20.657147838537014</c:v>
                </c:pt>
                <c:pt idx="4">
                  <c:v>22.979168549344244</c:v>
                </c:pt>
                <c:pt idx="5">
                  <c:v>25.725755948599176</c:v>
                </c:pt>
                <c:pt idx="6">
                  <c:v>27.86694586324986</c:v>
                </c:pt>
                <c:pt idx="7">
                  <c:v>30.160103968012738</c:v>
                </c:pt>
                <c:pt idx="8">
                  <c:v>31.845789856376932</c:v>
                </c:pt>
                <c:pt idx="9">
                  <c:v>32.98833861724919</c:v>
                </c:pt>
                <c:pt idx="10">
                  <c:v>34.74262265666722</c:v>
                </c:pt>
                <c:pt idx="11">
                  <c:v>35.58082515654225</c:v>
                </c:pt>
              </c:numCache>
            </c:numRef>
          </c:yVal>
          <c:smooth val="1"/>
        </c:ser>
        <c:axId val="63242831"/>
        <c:axId val="32314568"/>
      </c:scatterChart>
      <c:val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 val="autoZero"/>
        <c:crossBetween val="midCat"/>
        <c:dispUnits/>
        <c:majorUnit val="2"/>
      </c:valAx>
      <c:valAx>
        <c:axId val="32314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Basal area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75"/>
          <c:y val="0.8975"/>
          <c:w val="0.546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275"/>
          <c:w val="0.869"/>
          <c:h val="0.8082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/>
            </c:numRef>
          </c:xVal>
          <c:yVal>
            <c:numRef>
              <c:f>'DadosReais&amp;Graficos'!$G$59:$G$70</c:f>
              <c:numCache/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Month!$C$5:$C$149</c:f>
              <c:numCache>
                <c:ptCount val="145"/>
                <c:pt idx="0">
                  <c:v>6</c:v>
                </c:pt>
                <c:pt idx="1">
                  <c:v>6.083333333333333</c:v>
                </c:pt>
                <c:pt idx="2">
                  <c:v>6.166666666666666</c:v>
                </c:pt>
                <c:pt idx="3">
                  <c:v>6.249999999999999</c:v>
                </c:pt>
                <c:pt idx="4">
                  <c:v>6.333333333333332</c:v>
                </c:pt>
                <c:pt idx="5">
                  <c:v>6.416666666666665</c:v>
                </c:pt>
                <c:pt idx="6">
                  <c:v>6.499999999999998</c:v>
                </c:pt>
                <c:pt idx="7">
                  <c:v>6.583333333333331</c:v>
                </c:pt>
                <c:pt idx="8">
                  <c:v>6.666666666666664</c:v>
                </c:pt>
                <c:pt idx="9">
                  <c:v>6.749999999999997</c:v>
                </c:pt>
                <c:pt idx="10">
                  <c:v>6.83333333333333</c:v>
                </c:pt>
                <c:pt idx="11">
                  <c:v>6.916666666666663</c:v>
                </c:pt>
                <c:pt idx="12">
                  <c:v>6.9999999999999964</c:v>
                </c:pt>
                <c:pt idx="13">
                  <c:v>7.0833333333333295</c:v>
                </c:pt>
                <c:pt idx="14">
                  <c:v>7.1666666666666625</c:v>
                </c:pt>
                <c:pt idx="15">
                  <c:v>7.249999999999996</c:v>
                </c:pt>
                <c:pt idx="16">
                  <c:v>7.333333333333329</c:v>
                </c:pt>
                <c:pt idx="17">
                  <c:v>7.416666666666662</c:v>
                </c:pt>
                <c:pt idx="18">
                  <c:v>7.499999999999995</c:v>
                </c:pt>
                <c:pt idx="19">
                  <c:v>7.583333333333328</c:v>
                </c:pt>
                <c:pt idx="20">
                  <c:v>7.666666666666661</c:v>
                </c:pt>
                <c:pt idx="21">
                  <c:v>7.749999999999994</c:v>
                </c:pt>
                <c:pt idx="22">
                  <c:v>7.833333333333327</c:v>
                </c:pt>
                <c:pt idx="23">
                  <c:v>7.91666666666666</c:v>
                </c:pt>
                <c:pt idx="24">
                  <c:v>7.999999999999993</c:v>
                </c:pt>
                <c:pt idx="25">
                  <c:v>8.083333333333327</c:v>
                </c:pt>
                <c:pt idx="26">
                  <c:v>8.16666666666666</c:v>
                </c:pt>
                <c:pt idx="27">
                  <c:v>8.249999999999995</c:v>
                </c:pt>
                <c:pt idx="28">
                  <c:v>8.333333333333329</c:v>
                </c:pt>
                <c:pt idx="29">
                  <c:v>8.416666666666663</c:v>
                </c:pt>
                <c:pt idx="30">
                  <c:v>8.499999999999996</c:v>
                </c:pt>
                <c:pt idx="31">
                  <c:v>8.58333333333333</c:v>
                </c:pt>
                <c:pt idx="32">
                  <c:v>8.666666666666664</c:v>
                </c:pt>
                <c:pt idx="33">
                  <c:v>8.749999999999998</c:v>
                </c:pt>
                <c:pt idx="34">
                  <c:v>8.833333333333332</c:v>
                </c:pt>
                <c:pt idx="35">
                  <c:v>8.916666666666666</c:v>
                </c:pt>
                <c:pt idx="36">
                  <c:v>9</c:v>
                </c:pt>
                <c:pt idx="37">
                  <c:v>9.083333333333334</c:v>
                </c:pt>
                <c:pt idx="38">
                  <c:v>9.166666666666668</c:v>
                </c:pt>
                <c:pt idx="39">
                  <c:v>9.250000000000002</c:v>
                </c:pt>
                <c:pt idx="40">
                  <c:v>9.333333333333336</c:v>
                </c:pt>
                <c:pt idx="41">
                  <c:v>9.41666666666667</c:v>
                </c:pt>
                <c:pt idx="42">
                  <c:v>9.500000000000004</c:v>
                </c:pt>
                <c:pt idx="43">
                  <c:v>9.583333333333337</c:v>
                </c:pt>
                <c:pt idx="44">
                  <c:v>9.666666666666671</c:v>
                </c:pt>
                <c:pt idx="45">
                  <c:v>9.750000000000005</c:v>
                </c:pt>
                <c:pt idx="46">
                  <c:v>9.83333333333334</c:v>
                </c:pt>
                <c:pt idx="47">
                  <c:v>9.916666666666673</c:v>
                </c:pt>
                <c:pt idx="48">
                  <c:v>10.000000000000007</c:v>
                </c:pt>
                <c:pt idx="49">
                  <c:v>10.083333333333341</c:v>
                </c:pt>
                <c:pt idx="50">
                  <c:v>10.166666666666675</c:v>
                </c:pt>
                <c:pt idx="51">
                  <c:v>10.250000000000009</c:v>
                </c:pt>
                <c:pt idx="52">
                  <c:v>10.333333333333343</c:v>
                </c:pt>
                <c:pt idx="53">
                  <c:v>10.416666666666677</c:v>
                </c:pt>
                <c:pt idx="54">
                  <c:v>10.50000000000001</c:v>
                </c:pt>
                <c:pt idx="55">
                  <c:v>10.583333333333345</c:v>
                </c:pt>
                <c:pt idx="56">
                  <c:v>10.666666666666679</c:v>
                </c:pt>
                <c:pt idx="57">
                  <c:v>10.750000000000012</c:v>
                </c:pt>
                <c:pt idx="58">
                  <c:v>10.833333333333346</c:v>
                </c:pt>
                <c:pt idx="59">
                  <c:v>10.91666666666668</c:v>
                </c:pt>
                <c:pt idx="60">
                  <c:v>11.000000000000014</c:v>
                </c:pt>
                <c:pt idx="61">
                  <c:v>11.083333333333348</c:v>
                </c:pt>
                <c:pt idx="62">
                  <c:v>11.166666666666682</c:v>
                </c:pt>
                <c:pt idx="63">
                  <c:v>11.250000000000016</c:v>
                </c:pt>
                <c:pt idx="64">
                  <c:v>11.33333333333335</c:v>
                </c:pt>
                <c:pt idx="65">
                  <c:v>11.416666666666684</c:v>
                </c:pt>
                <c:pt idx="66">
                  <c:v>11.500000000000018</c:v>
                </c:pt>
                <c:pt idx="67">
                  <c:v>11.583333333333352</c:v>
                </c:pt>
                <c:pt idx="68">
                  <c:v>11.666666666666686</c:v>
                </c:pt>
                <c:pt idx="69">
                  <c:v>11.75000000000002</c:v>
                </c:pt>
                <c:pt idx="70">
                  <c:v>11.833333333333353</c:v>
                </c:pt>
                <c:pt idx="71">
                  <c:v>11.916666666666687</c:v>
                </c:pt>
                <c:pt idx="72">
                  <c:v>12.000000000000021</c:v>
                </c:pt>
                <c:pt idx="73">
                  <c:v>12.083333333333355</c:v>
                </c:pt>
                <c:pt idx="74">
                  <c:v>12.16666666666669</c:v>
                </c:pt>
                <c:pt idx="75">
                  <c:v>12.250000000000023</c:v>
                </c:pt>
                <c:pt idx="76">
                  <c:v>12.333333333333357</c:v>
                </c:pt>
                <c:pt idx="77">
                  <c:v>12.416666666666691</c:v>
                </c:pt>
                <c:pt idx="78">
                  <c:v>12.500000000000025</c:v>
                </c:pt>
                <c:pt idx="79">
                  <c:v>12.583333333333359</c:v>
                </c:pt>
                <c:pt idx="80">
                  <c:v>12.666666666666693</c:v>
                </c:pt>
                <c:pt idx="81">
                  <c:v>12.750000000000027</c:v>
                </c:pt>
                <c:pt idx="82">
                  <c:v>12.83333333333336</c:v>
                </c:pt>
                <c:pt idx="83">
                  <c:v>12.916666666666694</c:v>
                </c:pt>
                <c:pt idx="84">
                  <c:v>13.000000000000028</c:v>
                </c:pt>
                <c:pt idx="85">
                  <c:v>13.083333333333362</c:v>
                </c:pt>
                <c:pt idx="86">
                  <c:v>13.166666666666696</c:v>
                </c:pt>
                <c:pt idx="87">
                  <c:v>13.25000000000003</c:v>
                </c:pt>
                <c:pt idx="88">
                  <c:v>13.333333333333364</c:v>
                </c:pt>
                <c:pt idx="89">
                  <c:v>13.416666666666698</c:v>
                </c:pt>
                <c:pt idx="90">
                  <c:v>13.500000000000032</c:v>
                </c:pt>
                <c:pt idx="91">
                  <c:v>13.583333333333366</c:v>
                </c:pt>
                <c:pt idx="92">
                  <c:v>13.6666666666667</c:v>
                </c:pt>
                <c:pt idx="93">
                  <c:v>13.750000000000034</c:v>
                </c:pt>
                <c:pt idx="94">
                  <c:v>13.833333333333368</c:v>
                </c:pt>
                <c:pt idx="95">
                  <c:v>13.916666666666702</c:v>
                </c:pt>
                <c:pt idx="96">
                  <c:v>14.000000000000036</c:v>
                </c:pt>
                <c:pt idx="97">
                  <c:v>14.08333333333337</c:v>
                </c:pt>
                <c:pt idx="98">
                  <c:v>14.166666666666703</c:v>
                </c:pt>
                <c:pt idx="99">
                  <c:v>14.250000000000037</c:v>
                </c:pt>
                <c:pt idx="100">
                  <c:v>14.333333333333371</c:v>
                </c:pt>
                <c:pt idx="101">
                  <c:v>14.416666666666705</c:v>
                </c:pt>
                <c:pt idx="102">
                  <c:v>14.500000000000039</c:v>
                </c:pt>
                <c:pt idx="103">
                  <c:v>14.583333333333373</c:v>
                </c:pt>
                <c:pt idx="104">
                  <c:v>14.666666666666707</c:v>
                </c:pt>
                <c:pt idx="105">
                  <c:v>14.75000000000004</c:v>
                </c:pt>
                <c:pt idx="106">
                  <c:v>14.833333333333375</c:v>
                </c:pt>
                <c:pt idx="107">
                  <c:v>14.916666666666709</c:v>
                </c:pt>
                <c:pt idx="108">
                  <c:v>15.000000000000043</c:v>
                </c:pt>
                <c:pt idx="109">
                  <c:v>15.083333333333377</c:v>
                </c:pt>
                <c:pt idx="110">
                  <c:v>15.16666666666671</c:v>
                </c:pt>
                <c:pt idx="111">
                  <c:v>15.250000000000044</c:v>
                </c:pt>
                <c:pt idx="112">
                  <c:v>15.333333333333378</c:v>
                </c:pt>
                <c:pt idx="113">
                  <c:v>15.416666666666712</c:v>
                </c:pt>
                <c:pt idx="114">
                  <c:v>15.500000000000046</c:v>
                </c:pt>
                <c:pt idx="115">
                  <c:v>15.58333333333338</c:v>
                </c:pt>
                <c:pt idx="116">
                  <c:v>15.666666666666714</c:v>
                </c:pt>
                <c:pt idx="117">
                  <c:v>15.750000000000048</c:v>
                </c:pt>
                <c:pt idx="118">
                  <c:v>15.833333333333382</c:v>
                </c:pt>
                <c:pt idx="119">
                  <c:v>15.916666666666716</c:v>
                </c:pt>
                <c:pt idx="120">
                  <c:v>16.00000000000005</c:v>
                </c:pt>
                <c:pt idx="121">
                  <c:v>16.083333333333382</c:v>
                </c:pt>
                <c:pt idx="122">
                  <c:v>16.166666666666714</c:v>
                </c:pt>
                <c:pt idx="123">
                  <c:v>16.250000000000046</c:v>
                </c:pt>
                <c:pt idx="124">
                  <c:v>16.33333333333338</c:v>
                </c:pt>
                <c:pt idx="125">
                  <c:v>16.41666666666671</c:v>
                </c:pt>
                <c:pt idx="126">
                  <c:v>16.500000000000043</c:v>
                </c:pt>
                <c:pt idx="127">
                  <c:v>16.583333333333375</c:v>
                </c:pt>
                <c:pt idx="128">
                  <c:v>16.666666666666707</c:v>
                </c:pt>
                <c:pt idx="129">
                  <c:v>16.75000000000004</c:v>
                </c:pt>
                <c:pt idx="130">
                  <c:v>16.83333333333337</c:v>
                </c:pt>
                <c:pt idx="131">
                  <c:v>16.916666666666703</c:v>
                </c:pt>
                <c:pt idx="132">
                  <c:v>17.000000000000036</c:v>
                </c:pt>
                <c:pt idx="133">
                  <c:v>17.083333333333368</c:v>
                </c:pt>
                <c:pt idx="134">
                  <c:v>17.1666666666667</c:v>
                </c:pt>
                <c:pt idx="135">
                  <c:v>17.250000000000032</c:v>
                </c:pt>
                <c:pt idx="136">
                  <c:v>17.333333333333364</c:v>
                </c:pt>
                <c:pt idx="137">
                  <c:v>17.416666666666696</c:v>
                </c:pt>
                <c:pt idx="138">
                  <c:v>17.50000000000003</c:v>
                </c:pt>
                <c:pt idx="139">
                  <c:v>17.58333333333336</c:v>
                </c:pt>
                <c:pt idx="140">
                  <c:v>17.666666666666693</c:v>
                </c:pt>
                <c:pt idx="141">
                  <c:v>17.750000000000025</c:v>
                </c:pt>
                <c:pt idx="142">
                  <c:v>17.833333333333357</c:v>
                </c:pt>
                <c:pt idx="143">
                  <c:v>17.91666666666669</c:v>
                </c:pt>
                <c:pt idx="144">
                  <c:v>18.00000000000002</c:v>
                </c:pt>
              </c:numCache>
            </c:numRef>
          </c:xVal>
          <c:yVal>
            <c:numRef>
              <c:f>Month!$I$5:$I$149</c:f>
              <c:numCache>
                <c:ptCount val="145"/>
                <c:pt idx="0">
                  <c:v>51.5</c:v>
                </c:pt>
                <c:pt idx="1">
                  <c:v>54.154421683692696</c:v>
                </c:pt>
                <c:pt idx="2">
                  <c:v>58.39449090610429</c:v>
                </c:pt>
                <c:pt idx="3">
                  <c:v>61.68336012786314</c:v>
                </c:pt>
                <c:pt idx="4">
                  <c:v>64.54152786856686</c:v>
                </c:pt>
                <c:pt idx="5">
                  <c:v>64.45470474687745</c:v>
                </c:pt>
                <c:pt idx="6">
                  <c:v>64.4429415572584</c:v>
                </c:pt>
                <c:pt idx="7">
                  <c:v>64.48847208334388</c:v>
                </c:pt>
                <c:pt idx="8">
                  <c:v>64.66516016868178</c:v>
                </c:pt>
                <c:pt idx="9">
                  <c:v>64.64577627032585</c:v>
                </c:pt>
                <c:pt idx="10">
                  <c:v>65.4908169396205</c:v>
                </c:pt>
                <c:pt idx="11">
                  <c:v>67.00340688625246</c:v>
                </c:pt>
                <c:pt idx="12">
                  <c:v>69.5119980987607</c:v>
                </c:pt>
                <c:pt idx="13">
                  <c:v>72.89124332788052</c:v>
                </c:pt>
                <c:pt idx="14">
                  <c:v>75.49043269861086</c:v>
                </c:pt>
                <c:pt idx="15">
                  <c:v>75.74733146053543</c:v>
                </c:pt>
                <c:pt idx="16">
                  <c:v>76.00752818861052</c:v>
                </c:pt>
                <c:pt idx="17">
                  <c:v>76.19232691174655</c:v>
                </c:pt>
                <c:pt idx="18">
                  <c:v>76.27210832458879</c:v>
                </c:pt>
                <c:pt idx="19">
                  <c:v>76.8125659647239</c:v>
                </c:pt>
                <c:pt idx="20">
                  <c:v>77.26522081009357</c:v>
                </c:pt>
                <c:pt idx="21">
                  <c:v>77.98316991301058</c:v>
                </c:pt>
                <c:pt idx="22">
                  <c:v>78.47697832739762</c:v>
                </c:pt>
                <c:pt idx="23">
                  <c:v>79.2307899809013</c:v>
                </c:pt>
                <c:pt idx="24">
                  <c:v>81.9913185646595</c:v>
                </c:pt>
                <c:pt idx="25">
                  <c:v>82.94070144712475</c:v>
                </c:pt>
                <c:pt idx="26">
                  <c:v>87.27619469555924</c:v>
                </c:pt>
                <c:pt idx="27">
                  <c:v>90.9101635931671</c:v>
                </c:pt>
                <c:pt idx="28">
                  <c:v>90.91559436844996</c:v>
                </c:pt>
                <c:pt idx="29">
                  <c:v>90.91873635659582</c:v>
                </c:pt>
                <c:pt idx="30">
                  <c:v>90.89187725342586</c:v>
                </c:pt>
                <c:pt idx="31">
                  <c:v>90.86176854282525</c:v>
                </c:pt>
                <c:pt idx="32">
                  <c:v>90.81195986390843</c:v>
                </c:pt>
                <c:pt idx="33">
                  <c:v>91.6260155162342</c:v>
                </c:pt>
                <c:pt idx="34">
                  <c:v>92.32102768835591</c:v>
                </c:pt>
                <c:pt idx="35">
                  <c:v>93.08332870245856</c:v>
                </c:pt>
                <c:pt idx="36">
                  <c:v>94.81983375342365</c:v>
                </c:pt>
                <c:pt idx="37">
                  <c:v>98.33258860768723</c:v>
                </c:pt>
                <c:pt idx="38">
                  <c:v>102.25111107757236</c:v>
                </c:pt>
                <c:pt idx="39">
                  <c:v>106.28320960718779</c:v>
                </c:pt>
                <c:pt idx="40">
                  <c:v>106.8527951542779</c:v>
                </c:pt>
                <c:pt idx="41">
                  <c:v>107.02945577106831</c:v>
                </c:pt>
                <c:pt idx="42">
                  <c:v>107.08594397287476</c:v>
                </c:pt>
                <c:pt idx="43">
                  <c:v>107.0708803088504</c:v>
                </c:pt>
                <c:pt idx="44">
                  <c:v>107.23699587169966</c:v>
                </c:pt>
                <c:pt idx="45">
                  <c:v>108.19783924972178</c:v>
                </c:pt>
                <c:pt idx="46">
                  <c:v>108.49321705568086</c:v>
                </c:pt>
                <c:pt idx="47">
                  <c:v>109.86250318485068</c:v>
                </c:pt>
                <c:pt idx="48">
                  <c:v>112.21948344812785</c:v>
                </c:pt>
                <c:pt idx="49">
                  <c:v>115.65987192939576</c:v>
                </c:pt>
                <c:pt idx="50">
                  <c:v>119.65696798932814</c:v>
                </c:pt>
                <c:pt idx="51">
                  <c:v>124.04167303615819</c:v>
                </c:pt>
                <c:pt idx="52">
                  <c:v>123.99711049621459</c:v>
                </c:pt>
                <c:pt idx="53">
                  <c:v>123.88788784678431</c:v>
                </c:pt>
                <c:pt idx="54">
                  <c:v>123.85373609761703</c:v>
                </c:pt>
                <c:pt idx="55">
                  <c:v>123.84522937872543</c:v>
                </c:pt>
                <c:pt idx="56">
                  <c:v>123.78288512667277</c:v>
                </c:pt>
                <c:pt idx="57">
                  <c:v>124.59680324770638</c:v>
                </c:pt>
                <c:pt idx="58">
                  <c:v>125.50313502679428</c:v>
                </c:pt>
                <c:pt idx="59">
                  <c:v>126.63361911660266</c:v>
                </c:pt>
                <c:pt idx="60">
                  <c:v>129.2930933943979</c:v>
                </c:pt>
                <c:pt idx="61">
                  <c:v>132.1246848134201</c:v>
                </c:pt>
                <c:pt idx="62">
                  <c:v>137.1353660123909</c:v>
                </c:pt>
                <c:pt idx="63">
                  <c:v>137.78434483086028</c:v>
                </c:pt>
                <c:pt idx="64">
                  <c:v>137.92577128740078</c:v>
                </c:pt>
                <c:pt idx="65">
                  <c:v>137.96171480860562</c:v>
                </c:pt>
                <c:pt idx="66">
                  <c:v>137.9292744521999</c:v>
                </c:pt>
                <c:pt idx="67">
                  <c:v>138.57487983783238</c:v>
                </c:pt>
                <c:pt idx="68">
                  <c:v>138.80680345517212</c:v>
                </c:pt>
                <c:pt idx="69">
                  <c:v>139.53032020853735</c:v>
                </c:pt>
                <c:pt idx="70">
                  <c:v>140.1702930044426</c:v>
                </c:pt>
                <c:pt idx="71">
                  <c:v>141.38570906650008</c:v>
                </c:pt>
                <c:pt idx="72">
                  <c:v>144.14766452409148</c:v>
                </c:pt>
                <c:pt idx="73">
                  <c:v>147.67817688966176</c:v>
                </c:pt>
                <c:pt idx="74">
                  <c:v>151.59422437757422</c:v>
                </c:pt>
                <c:pt idx="75">
                  <c:v>151.60338992495073</c:v>
                </c:pt>
                <c:pt idx="76">
                  <c:v>151.64946069949278</c:v>
                </c:pt>
                <c:pt idx="77">
                  <c:v>151.64278375504335</c:v>
                </c:pt>
                <c:pt idx="78">
                  <c:v>151.64778563627164</c:v>
                </c:pt>
                <c:pt idx="79">
                  <c:v>152.38804225166777</c:v>
                </c:pt>
                <c:pt idx="80">
                  <c:v>153.69533575058398</c:v>
                </c:pt>
                <c:pt idx="81">
                  <c:v>154.68304467083556</c:v>
                </c:pt>
                <c:pt idx="82">
                  <c:v>155.78805941587848</c:v>
                </c:pt>
                <c:pt idx="83">
                  <c:v>157.07993901067354</c:v>
                </c:pt>
                <c:pt idx="84">
                  <c:v>159.85783694773932</c:v>
                </c:pt>
                <c:pt idx="85">
                  <c:v>163.43174110836665</c:v>
                </c:pt>
                <c:pt idx="86">
                  <c:v>167.7548563411255</c:v>
                </c:pt>
                <c:pt idx="87">
                  <c:v>170.35167276408745</c:v>
                </c:pt>
                <c:pt idx="88">
                  <c:v>172.9965972703017</c:v>
                </c:pt>
                <c:pt idx="89">
                  <c:v>173.25167195969132</c:v>
                </c:pt>
                <c:pt idx="90">
                  <c:v>173.2767833576928</c:v>
                </c:pt>
                <c:pt idx="91">
                  <c:v>173.2430139243603</c:v>
                </c:pt>
                <c:pt idx="92">
                  <c:v>173.81972994362258</c:v>
                </c:pt>
                <c:pt idx="93">
                  <c:v>174.01234576240302</c:v>
                </c:pt>
                <c:pt idx="94">
                  <c:v>173.99386264651108</c:v>
                </c:pt>
                <c:pt idx="95">
                  <c:v>174.29357091438564</c:v>
                </c:pt>
                <c:pt idx="96">
                  <c:v>177.19555608421908</c:v>
                </c:pt>
                <c:pt idx="97">
                  <c:v>178.22762675930147</c:v>
                </c:pt>
                <c:pt idx="98">
                  <c:v>182.53945558847158</c:v>
                </c:pt>
                <c:pt idx="99">
                  <c:v>182.68881775400317</c:v>
                </c:pt>
                <c:pt idx="100">
                  <c:v>182.6548309956935</c:v>
                </c:pt>
                <c:pt idx="101">
                  <c:v>182.5687205564647</c:v>
                </c:pt>
                <c:pt idx="102">
                  <c:v>182.53203222046363</c:v>
                </c:pt>
                <c:pt idx="103">
                  <c:v>182.48748325570358</c:v>
                </c:pt>
                <c:pt idx="104">
                  <c:v>183.28187472248572</c:v>
                </c:pt>
                <c:pt idx="105">
                  <c:v>184.26765449252636</c:v>
                </c:pt>
                <c:pt idx="106">
                  <c:v>185.02328562342035</c:v>
                </c:pt>
                <c:pt idx="107">
                  <c:v>187.07719799990866</c:v>
                </c:pt>
                <c:pt idx="108">
                  <c:v>189.91883615821433</c:v>
                </c:pt>
                <c:pt idx="109">
                  <c:v>193.29795677451867</c:v>
                </c:pt>
                <c:pt idx="110">
                  <c:v>196.2719039455423</c:v>
                </c:pt>
                <c:pt idx="111">
                  <c:v>196.22670308534794</c:v>
                </c:pt>
                <c:pt idx="112">
                  <c:v>196.22507764760513</c:v>
                </c:pt>
                <c:pt idx="113">
                  <c:v>196.18983081573134</c:v>
                </c:pt>
                <c:pt idx="114">
                  <c:v>196.16065624450928</c:v>
                </c:pt>
                <c:pt idx="115">
                  <c:v>196.1643427913941</c:v>
                </c:pt>
                <c:pt idx="116">
                  <c:v>197.82809233722787</c:v>
                </c:pt>
                <c:pt idx="117">
                  <c:v>198.58611322973266</c:v>
                </c:pt>
                <c:pt idx="118">
                  <c:v>199.1441553550718</c:v>
                </c:pt>
                <c:pt idx="119">
                  <c:v>199.98956370528998</c:v>
                </c:pt>
                <c:pt idx="120">
                  <c:v>202.67856701143523</c:v>
                </c:pt>
                <c:pt idx="121">
                  <c:v>206.2677371686985</c:v>
                </c:pt>
                <c:pt idx="122">
                  <c:v>209.95581989664163</c:v>
                </c:pt>
                <c:pt idx="123">
                  <c:v>209.9405788385818</c:v>
                </c:pt>
                <c:pt idx="124">
                  <c:v>209.87485923998133</c:v>
                </c:pt>
                <c:pt idx="125">
                  <c:v>209.86789827423272</c:v>
                </c:pt>
                <c:pt idx="126">
                  <c:v>210.20839528738088</c:v>
                </c:pt>
                <c:pt idx="127">
                  <c:v>210.78026573875013</c:v>
                </c:pt>
                <c:pt idx="128">
                  <c:v>211.68452236784458</c:v>
                </c:pt>
                <c:pt idx="129">
                  <c:v>212.2022552258675</c:v>
                </c:pt>
                <c:pt idx="130">
                  <c:v>212.22559164585988</c:v>
                </c:pt>
                <c:pt idx="131">
                  <c:v>212.5579855557722</c:v>
                </c:pt>
                <c:pt idx="132">
                  <c:v>213.00732455215393</c:v>
                </c:pt>
                <c:pt idx="133">
                  <c:v>213.37153836110298</c:v>
                </c:pt>
                <c:pt idx="134">
                  <c:v>215.6169081622521</c:v>
                </c:pt>
                <c:pt idx="135">
                  <c:v>215.79865246775194</c:v>
                </c:pt>
                <c:pt idx="136">
                  <c:v>216.4260101243473</c:v>
                </c:pt>
                <c:pt idx="137">
                  <c:v>216.4922349034336</c:v>
                </c:pt>
                <c:pt idx="138">
                  <c:v>216.58205781443155</c:v>
                </c:pt>
                <c:pt idx="139">
                  <c:v>216.77045100892417</c:v>
                </c:pt>
                <c:pt idx="140">
                  <c:v>217.7961918115192</c:v>
                </c:pt>
                <c:pt idx="141">
                  <c:v>217.97414552920915</c:v>
                </c:pt>
                <c:pt idx="142">
                  <c:v>218.2798087639771</c:v>
                </c:pt>
                <c:pt idx="143">
                  <c:v>218.65043720437404</c:v>
                </c:pt>
                <c:pt idx="144">
                  <c:v>219.47995512948674</c:v>
                </c:pt>
              </c:numCache>
            </c:numRef>
          </c:yVal>
          <c:smooth val="1"/>
        </c:ser>
        <c:axId val="22395657"/>
        <c:axId val="234322"/>
      </c:scatterChart>
      <c:valAx>
        <c:axId val="2239565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 val="autoZero"/>
        <c:crossBetween val="midCat"/>
        <c:dispUnits/>
        <c:majorUnit val="2"/>
      </c:valAx>
      <c:valAx>
        <c:axId val="234322"/>
        <c:scaling>
          <c:orientation val="minMax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Aboveground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045"/>
          <c:w val="0.54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2775"/>
          <c:w val="0.872"/>
          <c:h val="0.809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/>
            </c:numRef>
          </c:xVal>
          <c:yVal>
            <c:numRef>
              <c:f>'DadosReais&amp;Graficos'!$D$59:$D$70</c:f>
              <c:numCache/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Month!$C$5:$C$149</c:f>
              <c:numCache>
                <c:ptCount val="145"/>
                <c:pt idx="0">
                  <c:v>6</c:v>
                </c:pt>
                <c:pt idx="1">
                  <c:v>6.083333333333333</c:v>
                </c:pt>
                <c:pt idx="2">
                  <c:v>6.166666666666666</c:v>
                </c:pt>
                <c:pt idx="3">
                  <c:v>6.249999999999999</c:v>
                </c:pt>
                <c:pt idx="4">
                  <c:v>6.333333333333332</c:v>
                </c:pt>
                <c:pt idx="5">
                  <c:v>6.416666666666665</c:v>
                </c:pt>
                <c:pt idx="6">
                  <c:v>6.499999999999998</c:v>
                </c:pt>
                <c:pt idx="7">
                  <c:v>6.583333333333331</c:v>
                </c:pt>
                <c:pt idx="8">
                  <c:v>6.666666666666664</c:v>
                </c:pt>
                <c:pt idx="9">
                  <c:v>6.749999999999997</c:v>
                </c:pt>
                <c:pt idx="10">
                  <c:v>6.83333333333333</c:v>
                </c:pt>
                <c:pt idx="11">
                  <c:v>6.916666666666663</c:v>
                </c:pt>
                <c:pt idx="12">
                  <c:v>6.9999999999999964</c:v>
                </c:pt>
                <c:pt idx="13">
                  <c:v>7.0833333333333295</c:v>
                </c:pt>
                <c:pt idx="14">
                  <c:v>7.1666666666666625</c:v>
                </c:pt>
                <c:pt idx="15">
                  <c:v>7.249999999999996</c:v>
                </c:pt>
                <c:pt idx="16">
                  <c:v>7.333333333333329</c:v>
                </c:pt>
                <c:pt idx="17">
                  <c:v>7.416666666666662</c:v>
                </c:pt>
                <c:pt idx="18">
                  <c:v>7.499999999999995</c:v>
                </c:pt>
                <c:pt idx="19">
                  <c:v>7.583333333333328</c:v>
                </c:pt>
                <c:pt idx="20">
                  <c:v>7.666666666666661</c:v>
                </c:pt>
                <c:pt idx="21">
                  <c:v>7.749999999999994</c:v>
                </c:pt>
                <c:pt idx="22">
                  <c:v>7.833333333333327</c:v>
                </c:pt>
                <c:pt idx="23">
                  <c:v>7.91666666666666</c:v>
                </c:pt>
                <c:pt idx="24">
                  <c:v>7.999999999999993</c:v>
                </c:pt>
                <c:pt idx="25">
                  <c:v>8.083333333333327</c:v>
                </c:pt>
                <c:pt idx="26">
                  <c:v>8.16666666666666</c:v>
                </c:pt>
                <c:pt idx="27">
                  <c:v>8.249999999999995</c:v>
                </c:pt>
                <c:pt idx="28">
                  <c:v>8.333333333333329</c:v>
                </c:pt>
                <c:pt idx="29">
                  <c:v>8.416666666666663</c:v>
                </c:pt>
                <c:pt idx="30">
                  <c:v>8.499999999999996</c:v>
                </c:pt>
                <c:pt idx="31">
                  <c:v>8.58333333333333</c:v>
                </c:pt>
                <c:pt idx="32">
                  <c:v>8.666666666666664</c:v>
                </c:pt>
                <c:pt idx="33">
                  <c:v>8.749999999999998</c:v>
                </c:pt>
                <c:pt idx="34">
                  <c:v>8.833333333333332</c:v>
                </c:pt>
                <c:pt idx="35">
                  <c:v>8.916666666666666</c:v>
                </c:pt>
                <c:pt idx="36">
                  <c:v>9</c:v>
                </c:pt>
                <c:pt idx="37">
                  <c:v>9.083333333333334</c:v>
                </c:pt>
                <c:pt idx="38">
                  <c:v>9.166666666666668</c:v>
                </c:pt>
                <c:pt idx="39">
                  <c:v>9.250000000000002</c:v>
                </c:pt>
                <c:pt idx="40">
                  <c:v>9.333333333333336</c:v>
                </c:pt>
                <c:pt idx="41">
                  <c:v>9.41666666666667</c:v>
                </c:pt>
                <c:pt idx="42">
                  <c:v>9.500000000000004</c:v>
                </c:pt>
                <c:pt idx="43">
                  <c:v>9.583333333333337</c:v>
                </c:pt>
                <c:pt idx="44">
                  <c:v>9.666666666666671</c:v>
                </c:pt>
                <c:pt idx="45">
                  <c:v>9.750000000000005</c:v>
                </c:pt>
                <c:pt idx="46">
                  <c:v>9.83333333333334</c:v>
                </c:pt>
                <c:pt idx="47">
                  <c:v>9.916666666666673</c:v>
                </c:pt>
                <c:pt idx="48">
                  <c:v>10.000000000000007</c:v>
                </c:pt>
                <c:pt idx="49">
                  <c:v>10.083333333333341</c:v>
                </c:pt>
                <c:pt idx="50">
                  <c:v>10.166666666666675</c:v>
                </c:pt>
                <c:pt idx="51">
                  <c:v>10.250000000000009</c:v>
                </c:pt>
                <c:pt idx="52">
                  <c:v>10.333333333333343</c:v>
                </c:pt>
                <c:pt idx="53">
                  <c:v>10.416666666666677</c:v>
                </c:pt>
                <c:pt idx="54">
                  <c:v>10.50000000000001</c:v>
                </c:pt>
                <c:pt idx="55">
                  <c:v>10.583333333333345</c:v>
                </c:pt>
                <c:pt idx="56">
                  <c:v>10.666666666666679</c:v>
                </c:pt>
                <c:pt idx="57">
                  <c:v>10.750000000000012</c:v>
                </c:pt>
                <c:pt idx="58">
                  <c:v>10.833333333333346</c:v>
                </c:pt>
                <c:pt idx="59">
                  <c:v>10.91666666666668</c:v>
                </c:pt>
                <c:pt idx="60">
                  <c:v>11.000000000000014</c:v>
                </c:pt>
                <c:pt idx="61">
                  <c:v>11.083333333333348</c:v>
                </c:pt>
                <c:pt idx="62">
                  <c:v>11.166666666666682</c:v>
                </c:pt>
                <c:pt idx="63">
                  <c:v>11.250000000000016</c:v>
                </c:pt>
                <c:pt idx="64">
                  <c:v>11.33333333333335</c:v>
                </c:pt>
                <c:pt idx="65">
                  <c:v>11.416666666666684</c:v>
                </c:pt>
                <c:pt idx="66">
                  <c:v>11.500000000000018</c:v>
                </c:pt>
                <c:pt idx="67">
                  <c:v>11.583333333333352</c:v>
                </c:pt>
                <c:pt idx="68">
                  <c:v>11.666666666666686</c:v>
                </c:pt>
                <c:pt idx="69">
                  <c:v>11.75000000000002</c:v>
                </c:pt>
                <c:pt idx="70">
                  <c:v>11.833333333333353</c:v>
                </c:pt>
                <c:pt idx="71">
                  <c:v>11.916666666666687</c:v>
                </c:pt>
                <c:pt idx="72">
                  <c:v>12.000000000000021</c:v>
                </c:pt>
                <c:pt idx="73">
                  <c:v>12.083333333333355</c:v>
                </c:pt>
                <c:pt idx="74">
                  <c:v>12.16666666666669</c:v>
                </c:pt>
                <c:pt idx="75">
                  <c:v>12.250000000000023</c:v>
                </c:pt>
                <c:pt idx="76">
                  <c:v>12.333333333333357</c:v>
                </c:pt>
                <c:pt idx="77">
                  <c:v>12.416666666666691</c:v>
                </c:pt>
                <c:pt idx="78">
                  <c:v>12.500000000000025</c:v>
                </c:pt>
                <c:pt idx="79">
                  <c:v>12.583333333333359</c:v>
                </c:pt>
                <c:pt idx="80">
                  <c:v>12.666666666666693</c:v>
                </c:pt>
                <c:pt idx="81">
                  <c:v>12.750000000000027</c:v>
                </c:pt>
                <c:pt idx="82">
                  <c:v>12.83333333333336</c:v>
                </c:pt>
                <c:pt idx="83">
                  <c:v>12.916666666666694</c:v>
                </c:pt>
                <c:pt idx="84">
                  <c:v>13.000000000000028</c:v>
                </c:pt>
                <c:pt idx="85">
                  <c:v>13.083333333333362</c:v>
                </c:pt>
                <c:pt idx="86">
                  <c:v>13.166666666666696</c:v>
                </c:pt>
                <c:pt idx="87">
                  <c:v>13.25000000000003</c:v>
                </c:pt>
                <c:pt idx="88">
                  <c:v>13.333333333333364</c:v>
                </c:pt>
                <c:pt idx="89">
                  <c:v>13.416666666666698</c:v>
                </c:pt>
                <c:pt idx="90">
                  <c:v>13.500000000000032</c:v>
                </c:pt>
                <c:pt idx="91">
                  <c:v>13.583333333333366</c:v>
                </c:pt>
                <c:pt idx="92">
                  <c:v>13.6666666666667</c:v>
                </c:pt>
                <c:pt idx="93">
                  <c:v>13.750000000000034</c:v>
                </c:pt>
                <c:pt idx="94">
                  <c:v>13.833333333333368</c:v>
                </c:pt>
                <c:pt idx="95">
                  <c:v>13.916666666666702</c:v>
                </c:pt>
                <c:pt idx="96">
                  <c:v>14.000000000000036</c:v>
                </c:pt>
                <c:pt idx="97">
                  <c:v>14.08333333333337</c:v>
                </c:pt>
                <c:pt idx="98">
                  <c:v>14.166666666666703</c:v>
                </c:pt>
                <c:pt idx="99">
                  <c:v>14.250000000000037</c:v>
                </c:pt>
                <c:pt idx="100">
                  <c:v>14.333333333333371</c:v>
                </c:pt>
                <c:pt idx="101">
                  <c:v>14.416666666666705</c:v>
                </c:pt>
                <c:pt idx="102">
                  <c:v>14.500000000000039</c:v>
                </c:pt>
                <c:pt idx="103">
                  <c:v>14.583333333333373</c:v>
                </c:pt>
                <c:pt idx="104">
                  <c:v>14.666666666666707</c:v>
                </c:pt>
                <c:pt idx="105">
                  <c:v>14.75000000000004</c:v>
                </c:pt>
                <c:pt idx="106">
                  <c:v>14.833333333333375</c:v>
                </c:pt>
                <c:pt idx="107">
                  <c:v>14.916666666666709</c:v>
                </c:pt>
                <c:pt idx="108">
                  <c:v>15.000000000000043</c:v>
                </c:pt>
                <c:pt idx="109">
                  <c:v>15.083333333333377</c:v>
                </c:pt>
                <c:pt idx="110">
                  <c:v>15.16666666666671</c:v>
                </c:pt>
                <c:pt idx="111">
                  <c:v>15.250000000000044</c:v>
                </c:pt>
                <c:pt idx="112">
                  <c:v>15.333333333333378</c:v>
                </c:pt>
                <c:pt idx="113">
                  <c:v>15.416666666666712</c:v>
                </c:pt>
                <c:pt idx="114">
                  <c:v>15.500000000000046</c:v>
                </c:pt>
                <c:pt idx="115">
                  <c:v>15.58333333333338</c:v>
                </c:pt>
                <c:pt idx="116">
                  <c:v>15.666666666666714</c:v>
                </c:pt>
                <c:pt idx="117">
                  <c:v>15.750000000000048</c:v>
                </c:pt>
                <c:pt idx="118">
                  <c:v>15.833333333333382</c:v>
                </c:pt>
                <c:pt idx="119">
                  <c:v>15.916666666666716</c:v>
                </c:pt>
                <c:pt idx="120">
                  <c:v>16.00000000000005</c:v>
                </c:pt>
                <c:pt idx="121">
                  <c:v>16.083333333333382</c:v>
                </c:pt>
                <c:pt idx="122">
                  <c:v>16.166666666666714</c:v>
                </c:pt>
                <c:pt idx="123">
                  <c:v>16.250000000000046</c:v>
                </c:pt>
                <c:pt idx="124">
                  <c:v>16.33333333333338</c:v>
                </c:pt>
                <c:pt idx="125">
                  <c:v>16.41666666666671</c:v>
                </c:pt>
                <c:pt idx="126">
                  <c:v>16.500000000000043</c:v>
                </c:pt>
                <c:pt idx="127">
                  <c:v>16.583333333333375</c:v>
                </c:pt>
                <c:pt idx="128">
                  <c:v>16.666666666666707</c:v>
                </c:pt>
                <c:pt idx="129">
                  <c:v>16.75000000000004</c:v>
                </c:pt>
                <c:pt idx="130">
                  <c:v>16.83333333333337</c:v>
                </c:pt>
                <c:pt idx="131">
                  <c:v>16.916666666666703</c:v>
                </c:pt>
                <c:pt idx="132">
                  <c:v>17.000000000000036</c:v>
                </c:pt>
                <c:pt idx="133">
                  <c:v>17.083333333333368</c:v>
                </c:pt>
                <c:pt idx="134">
                  <c:v>17.1666666666667</c:v>
                </c:pt>
                <c:pt idx="135">
                  <c:v>17.250000000000032</c:v>
                </c:pt>
                <c:pt idx="136">
                  <c:v>17.333333333333364</c:v>
                </c:pt>
                <c:pt idx="137">
                  <c:v>17.416666666666696</c:v>
                </c:pt>
                <c:pt idx="138">
                  <c:v>17.50000000000003</c:v>
                </c:pt>
                <c:pt idx="139">
                  <c:v>17.58333333333336</c:v>
                </c:pt>
                <c:pt idx="140">
                  <c:v>17.666666666666693</c:v>
                </c:pt>
                <c:pt idx="141">
                  <c:v>17.750000000000025</c:v>
                </c:pt>
                <c:pt idx="142">
                  <c:v>17.833333333333357</c:v>
                </c:pt>
                <c:pt idx="143">
                  <c:v>17.91666666666669</c:v>
                </c:pt>
                <c:pt idx="144">
                  <c:v>18.00000000000002</c:v>
                </c:pt>
              </c:numCache>
            </c:numRef>
          </c:xVal>
          <c:yVal>
            <c:numRef>
              <c:f>Month!$F$5:$F$149</c:f>
              <c:numCache>
                <c:ptCount val="145"/>
                <c:pt idx="0">
                  <c:v>5.58</c:v>
                </c:pt>
                <c:pt idx="1">
                  <c:v>5.8000739851804655</c:v>
                </c:pt>
                <c:pt idx="2">
                  <c:v>6.183630752773376</c:v>
                </c:pt>
                <c:pt idx="3">
                  <c:v>6.456849819131573</c:v>
                </c:pt>
                <c:pt idx="4">
                  <c:v>6.6787016684157505</c:v>
                </c:pt>
                <c:pt idx="5">
                  <c:v>6.591878546726349</c:v>
                </c:pt>
                <c:pt idx="6">
                  <c:v>6.513806427142243</c:v>
                </c:pt>
                <c:pt idx="7">
                  <c:v>6.442548916473457</c:v>
                </c:pt>
                <c:pt idx="8">
                  <c:v>6.385632543238182</c:v>
                </c:pt>
                <c:pt idx="9">
                  <c:v>6.309171343090205</c:v>
                </c:pt>
                <c:pt idx="10">
                  <c:v>6.322596900731565</c:v>
                </c:pt>
                <c:pt idx="11">
                  <c:v>6.404190572875977</c:v>
                </c:pt>
                <c:pt idx="12">
                  <c:v>6.586022931528347</c:v>
                </c:pt>
                <c:pt idx="13">
                  <c:v>6.852472093369337</c:v>
                </c:pt>
                <c:pt idx="14">
                  <c:v>7.034266442765056</c:v>
                </c:pt>
                <c:pt idx="15">
                  <c:v>6.977702309598433</c:v>
                </c:pt>
                <c:pt idx="16">
                  <c:v>6.922102217297533</c:v>
                </c:pt>
                <c:pt idx="17">
                  <c:v>6.859586752235687</c:v>
                </c:pt>
                <c:pt idx="18">
                  <c:v>6.7872930897444945</c:v>
                </c:pt>
                <c:pt idx="19">
                  <c:v>6.761849122306313</c:v>
                </c:pt>
                <c:pt idx="20">
                  <c:v>6.727857447296859</c:v>
                </c:pt>
                <c:pt idx="21">
                  <c:v>6.7206258986402165</c:v>
                </c:pt>
                <c:pt idx="22">
                  <c:v>6.691048409704265</c:v>
                </c:pt>
                <c:pt idx="23">
                  <c:v>6.687564828490586</c:v>
                </c:pt>
                <c:pt idx="24">
                  <c:v>6.882894674024455</c:v>
                </c:pt>
                <c:pt idx="25">
                  <c:v>6.895777616706541</c:v>
                </c:pt>
                <c:pt idx="26">
                  <c:v>7.241208245405835</c:v>
                </c:pt>
                <c:pt idx="27">
                  <c:v>7.5103637546198065</c:v>
                </c:pt>
                <c:pt idx="28">
                  <c:v>7.422700514466383</c:v>
                </c:pt>
                <c:pt idx="29">
                  <c:v>7.33584332443157</c:v>
                </c:pt>
                <c:pt idx="30">
                  <c:v>7.247102797988938</c:v>
                </c:pt>
                <c:pt idx="31">
                  <c:v>7.159089251979087</c:v>
                </c:pt>
                <c:pt idx="32">
                  <c:v>7.0702037579172154</c:v>
                </c:pt>
                <c:pt idx="33">
                  <c:v>7.065880100092944</c:v>
                </c:pt>
                <c:pt idx="34">
                  <c:v>7.049969064996029</c:v>
                </c:pt>
                <c:pt idx="35">
                  <c:v>7.040618980890584</c:v>
                </c:pt>
                <c:pt idx="36">
                  <c:v>7.124990766957302</c:v>
                </c:pt>
                <c:pt idx="37">
                  <c:v>7.378137826920714</c:v>
                </c:pt>
                <c:pt idx="38">
                  <c:v>7.664777000588768</c:v>
                </c:pt>
                <c:pt idx="39">
                  <c:v>7.95618159451034</c:v>
                </c:pt>
                <c:pt idx="40">
                  <c:v>7.916017655424401</c:v>
                </c:pt>
                <c:pt idx="41">
                  <c:v>7.839361686187275</c:v>
                </c:pt>
                <c:pt idx="42">
                  <c:v>7.752317500167351</c:v>
                </c:pt>
                <c:pt idx="43">
                  <c:v>7.659580737964963</c:v>
                </c:pt>
                <c:pt idx="44">
                  <c:v>7.5849343072295445</c:v>
                </c:pt>
                <c:pt idx="45">
                  <c:v>7.585689713375873</c:v>
                </c:pt>
                <c:pt idx="46">
                  <c:v>7.523964005026846</c:v>
                </c:pt>
                <c:pt idx="47">
                  <c:v>7.563427185169032</c:v>
                </c:pt>
                <c:pt idx="48">
                  <c:v>7.694316870317417</c:v>
                </c:pt>
                <c:pt idx="49">
                  <c:v>7.923560792977797</c:v>
                </c:pt>
                <c:pt idx="50">
                  <c:v>8.199860078727003</c:v>
                </c:pt>
                <c:pt idx="51">
                  <c:v>8.50629095833654</c:v>
                </c:pt>
                <c:pt idx="52">
                  <c:v>8.401742263868163</c:v>
                </c:pt>
                <c:pt idx="53">
                  <c:v>8.292519614437877</c:v>
                </c:pt>
                <c:pt idx="54">
                  <c:v>8.191446753522904</c:v>
                </c:pt>
                <c:pt idx="55">
                  <c:v>8.093910193895978</c:v>
                </c:pt>
                <c:pt idx="56">
                  <c:v>7.992606301146716</c:v>
                </c:pt>
                <c:pt idx="57">
                  <c:v>7.972544019273323</c:v>
                </c:pt>
                <c:pt idx="58">
                  <c:v>7.961044385971625</c:v>
                </c:pt>
                <c:pt idx="59">
                  <c:v>7.969975920119572</c:v>
                </c:pt>
                <c:pt idx="60">
                  <c:v>8.117685496739917</c:v>
                </c:pt>
                <c:pt idx="61">
                  <c:v>8.278323385945752</c:v>
                </c:pt>
                <c:pt idx="62">
                  <c:v>8.632761895075388</c:v>
                </c:pt>
                <c:pt idx="63">
                  <c:v>8.588809584465096</c:v>
                </c:pt>
                <c:pt idx="64">
                  <c:v>8.499832811135562</c:v>
                </c:pt>
                <c:pt idx="65">
                  <c:v>8.402452998209508</c:v>
                </c:pt>
                <c:pt idx="66">
                  <c:v>8.300098742891974</c:v>
                </c:pt>
                <c:pt idx="67">
                  <c:v>8.259676917854057</c:v>
                </c:pt>
                <c:pt idx="68">
                  <c:v>8.18265850141885</c:v>
                </c:pt>
                <c:pt idx="69">
                  <c:v>8.15050403803901</c:v>
                </c:pt>
                <c:pt idx="70">
                  <c:v>8.111190897115936</c:v>
                </c:pt>
                <c:pt idx="71">
                  <c:v>8.123647837100183</c:v>
                </c:pt>
                <c:pt idx="72">
                  <c:v>8.27359597195894</c:v>
                </c:pt>
                <c:pt idx="73">
                  <c:v>8.489155936777804</c:v>
                </c:pt>
                <c:pt idx="74">
                  <c:v>8.734889310144986</c:v>
                </c:pt>
                <c:pt idx="75">
                  <c:v>8.632139285872494</c:v>
                </c:pt>
                <c:pt idx="76">
                  <c:v>8.533854436548536</c:v>
                </c:pt>
                <c:pt idx="77">
                  <c:v>8.432090204201902</c:v>
                </c:pt>
                <c:pt idx="78">
                  <c:v>8.332559115943045</c:v>
                </c:pt>
                <c:pt idx="79">
                  <c:v>8.298898372073893</c:v>
                </c:pt>
                <c:pt idx="80">
                  <c:v>8.315409489559219</c:v>
                </c:pt>
                <c:pt idx="81">
                  <c:v>8.303481487382312</c:v>
                </c:pt>
                <c:pt idx="82">
                  <c:v>8.301861632946462</c:v>
                </c:pt>
                <c:pt idx="83">
                  <c:v>8.316478341414912</c:v>
                </c:pt>
                <c:pt idx="84">
                  <c:v>8.460626110649525</c:v>
                </c:pt>
                <c:pt idx="85">
                  <c:v>8.67164644241477</c:v>
                </c:pt>
                <c:pt idx="86">
                  <c:v>8.943952452302433</c:v>
                </c:pt>
                <c:pt idx="87">
                  <c:v>9.062109293458892</c:v>
                </c:pt>
                <c:pt idx="88">
                  <c:v>9.182367872379643</c:v>
                </c:pt>
                <c:pt idx="89">
                  <c:v>9.095174868590272</c:v>
                </c:pt>
                <c:pt idx="90">
                  <c:v>8.989251649329246</c:v>
                </c:pt>
                <c:pt idx="91">
                  <c:v>8.879528108751972</c:v>
                </c:pt>
                <c:pt idx="92">
                  <c:v>8.823538633501755</c:v>
                </c:pt>
                <c:pt idx="93">
                  <c:v>8.735208660041252</c:v>
                </c:pt>
                <c:pt idx="94">
                  <c:v>8.629808314298256</c:v>
                </c:pt>
                <c:pt idx="95">
                  <c:v>8.552958036574335</c:v>
                </c:pt>
                <c:pt idx="96">
                  <c:v>8.700170965474433</c:v>
                </c:pt>
                <c:pt idx="97">
                  <c:v>8.684989992773977</c:v>
                </c:pt>
                <c:pt idx="98">
                  <c:v>8.950020486899017</c:v>
                </c:pt>
                <c:pt idx="99">
                  <c:v>8.85627142674793</c:v>
                </c:pt>
                <c:pt idx="100">
                  <c:v>8.748040275361898</c:v>
                </c:pt>
                <c:pt idx="101">
                  <c:v>8.636663817007703</c:v>
                </c:pt>
                <c:pt idx="102">
                  <c:v>8.53081440341251</c:v>
                </c:pt>
                <c:pt idx="103">
                  <c:v>8.425555248455012</c:v>
                </c:pt>
                <c:pt idx="104">
                  <c:v>8.392872843237791</c:v>
                </c:pt>
                <c:pt idx="105">
                  <c:v>8.376772665141846</c:v>
                </c:pt>
                <c:pt idx="106">
                  <c:v>8.341239481170316</c:v>
                </c:pt>
                <c:pt idx="107">
                  <c:v>8.416156984803663</c:v>
                </c:pt>
                <c:pt idx="108">
                  <c:v>8.55648493070836</c:v>
                </c:pt>
                <c:pt idx="109">
                  <c:v>8.739845430079303</c:v>
                </c:pt>
                <c:pt idx="110">
                  <c:v>8.886021616946477</c:v>
                </c:pt>
                <c:pt idx="111">
                  <c:v>8.776404089657412</c:v>
                </c:pt>
                <c:pt idx="112">
                  <c:v>8.671748106816736</c:v>
                </c:pt>
                <c:pt idx="113">
                  <c:v>8.565516656491816</c:v>
                </c:pt>
                <c:pt idx="114">
                  <c:v>8.46105936187633</c:v>
                </c:pt>
                <c:pt idx="115">
                  <c:v>8.36060235889482</c:v>
                </c:pt>
                <c:pt idx="116">
                  <c:v>8.400591678312967</c:v>
                </c:pt>
                <c:pt idx="117">
                  <c:v>8.364018841032477</c:v>
                </c:pt>
                <c:pt idx="118">
                  <c:v>8.311091008777941</c:v>
                </c:pt>
                <c:pt idx="119">
                  <c:v>8.282798929960531</c:v>
                </c:pt>
                <c:pt idx="120">
                  <c:v>8.408863355948808</c:v>
                </c:pt>
                <c:pt idx="121">
                  <c:v>8.607933923942108</c:v>
                </c:pt>
                <c:pt idx="122">
                  <c:v>8.811910408342516</c:v>
                </c:pt>
                <c:pt idx="123">
                  <c:v>8.705585663470384</c:v>
                </c:pt>
                <c:pt idx="124">
                  <c:v>8.596345145531918</c:v>
                </c:pt>
                <c:pt idx="125">
                  <c:v>8.493275657995735</c:v>
                </c:pt>
                <c:pt idx="126">
                  <c:v>8.420222170890284</c:v>
                </c:pt>
                <c:pt idx="127">
                  <c:v>8.367189099165236</c:v>
                </c:pt>
                <c:pt idx="128">
                  <c:v>8.342271490671289</c:v>
                </c:pt>
                <c:pt idx="129">
                  <c:v>8.285613564101395</c:v>
                </c:pt>
                <c:pt idx="130">
                  <c:v>8.188734277747997</c:v>
                </c:pt>
                <c:pt idx="131">
                  <c:v>8.118555913884897</c:v>
                </c:pt>
                <c:pt idx="132">
                  <c:v>8.05886512927926</c:v>
                </c:pt>
                <c:pt idx="133">
                  <c:v>7.992835126775972</c:v>
                </c:pt>
                <c:pt idx="134">
                  <c:v>8.082894254520557</c:v>
                </c:pt>
                <c:pt idx="135">
                  <c:v>8.001454045993631</c:v>
                </c:pt>
                <c:pt idx="136">
                  <c:v>7.95769541876841</c:v>
                </c:pt>
                <c:pt idx="137">
                  <c:v>7.868217397905528</c:v>
                </c:pt>
                <c:pt idx="138">
                  <c:v>7.781747919973553</c:v>
                </c:pt>
                <c:pt idx="139">
                  <c:v>7.70442220272621</c:v>
                </c:pt>
                <c:pt idx="140">
                  <c:v>7.696930727902355</c:v>
                </c:pt>
                <c:pt idx="141">
                  <c:v>7.6197323036726115</c:v>
                </c:pt>
                <c:pt idx="142">
                  <c:v>7.5539495991522045</c:v>
                </c:pt>
                <c:pt idx="143">
                  <c:v>7.494280784071489</c:v>
                </c:pt>
                <c:pt idx="144">
                  <c:v>7.47301190441508</c:v>
                </c:pt>
              </c:numCache>
            </c:numRef>
          </c:yVal>
          <c:smooth val="1"/>
        </c:ser>
        <c:axId val="2108899"/>
        <c:axId val="18980092"/>
      </c:scatterChart>
      <c:valAx>
        <c:axId val="210889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 val="autoZero"/>
        <c:crossBetween val="midCat"/>
        <c:dispUnits/>
        <c:majorUnit val="2"/>
      </c:valAx>
      <c:valAx>
        <c:axId val="1898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"/>
          <c:y val="0.9045"/>
          <c:w val="0.538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2725"/>
          <c:w val="0.8685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/>
            </c:numRef>
          </c:xVal>
          <c:yVal>
            <c:numRef>
              <c:f>'DadosReais&amp;Graficos'!$E$59:$E$70</c:f>
              <c:numCache/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Month!$C$5:$C$149</c:f>
              <c:numCache>
                <c:ptCount val="145"/>
                <c:pt idx="0">
                  <c:v>6</c:v>
                </c:pt>
                <c:pt idx="1">
                  <c:v>6.083333333333333</c:v>
                </c:pt>
                <c:pt idx="2">
                  <c:v>6.166666666666666</c:v>
                </c:pt>
                <c:pt idx="3">
                  <c:v>6.249999999999999</c:v>
                </c:pt>
                <c:pt idx="4">
                  <c:v>6.333333333333332</c:v>
                </c:pt>
                <c:pt idx="5">
                  <c:v>6.416666666666665</c:v>
                </c:pt>
                <c:pt idx="6">
                  <c:v>6.499999999999998</c:v>
                </c:pt>
                <c:pt idx="7">
                  <c:v>6.583333333333331</c:v>
                </c:pt>
                <c:pt idx="8">
                  <c:v>6.666666666666664</c:v>
                </c:pt>
                <c:pt idx="9">
                  <c:v>6.749999999999997</c:v>
                </c:pt>
                <c:pt idx="10">
                  <c:v>6.83333333333333</c:v>
                </c:pt>
                <c:pt idx="11">
                  <c:v>6.916666666666663</c:v>
                </c:pt>
                <c:pt idx="12">
                  <c:v>6.9999999999999964</c:v>
                </c:pt>
                <c:pt idx="13">
                  <c:v>7.0833333333333295</c:v>
                </c:pt>
                <c:pt idx="14">
                  <c:v>7.1666666666666625</c:v>
                </c:pt>
                <c:pt idx="15">
                  <c:v>7.249999999999996</c:v>
                </c:pt>
                <c:pt idx="16">
                  <c:v>7.333333333333329</c:v>
                </c:pt>
                <c:pt idx="17">
                  <c:v>7.416666666666662</c:v>
                </c:pt>
                <c:pt idx="18">
                  <c:v>7.499999999999995</c:v>
                </c:pt>
                <c:pt idx="19">
                  <c:v>7.583333333333328</c:v>
                </c:pt>
                <c:pt idx="20">
                  <c:v>7.666666666666661</c:v>
                </c:pt>
                <c:pt idx="21">
                  <c:v>7.749999999999994</c:v>
                </c:pt>
                <c:pt idx="22">
                  <c:v>7.833333333333327</c:v>
                </c:pt>
                <c:pt idx="23">
                  <c:v>7.91666666666666</c:v>
                </c:pt>
                <c:pt idx="24">
                  <c:v>7.999999999999993</c:v>
                </c:pt>
                <c:pt idx="25">
                  <c:v>8.083333333333327</c:v>
                </c:pt>
                <c:pt idx="26">
                  <c:v>8.16666666666666</c:v>
                </c:pt>
                <c:pt idx="27">
                  <c:v>8.249999999999995</c:v>
                </c:pt>
                <c:pt idx="28">
                  <c:v>8.333333333333329</c:v>
                </c:pt>
                <c:pt idx="29">
                  <c:v>8.416666666666663</c:v>
                </c:pt>
                <c:pt idx="30">
                  <c:v>8.499999999999996</c:v>
                </c:pt>
                <c:pt idx="31">
                  <c:v>8.58333333333333</c:v>
                </c:pt>
                <c:pt idx="32">
                  <c:v>8.666666666666664</c:v>
                </c:pt>
                <c:pt idx="33">
                  <c:v>8.749999999999998</c:v>
                </c:pt>
                <c:pt idx="34">
                  <c:v>8.833333333333332</c:v>
                </c:pt>
                <c:pt idx="35">
                  <c:v>8.916666666666666</c:v>
                </c:pt>
                <c:pt idx="36">
                  <c:v>9</c:v>
                </c:pt>
                <c:pt idx="37">
                  <c:v>9.083333333333334</c:v>
                </c:pt>
                <c:pt idx="38">
                  <c:v>9.166666666666668</c:v>
                </c:pt>
                <c:pt idx="39">
                  <c:v>9.250000000000002</c:v>
                </c:pt>
                <c:pt idx="40">
                  <c:v>9.333333333333336</c:v>
                </c:pt>
                <c:pt idx="41">
                  <c:v>9.41666666666667</c:v>
                </c:pt>
                <c:pt idx="42">
                  <c:v>9.500000000000004</c:v>
                </c:pt>
                <c:pt idx="43">
                  <c:v>9.583333333333337</c:v>
                </c:pt>
                <c:pt idx="44">
                  <c:v>9.666666666666671</c:v>
                </c:pt>
                <c:pt idx="45">
                  <c:v>9.750000000000005</c:v>
                </c:pt>
                <c:pt idx="46">
                  <c:v>9.83333333333334</c:v>
                </c:pt>
                <c:pt idx="47">
                  <c:v>9.916666666666673</c:v>
                </c:pt>
                <c:pt idx="48">
                  <c:v>10.000000000000007</c:v>
                </c:pt>
                <c:pt idx="49">
                  <c:v>10.083333333333341</c:v>
                </c:pt>
                <c:pt idx="50">
                  <c:v>10.166666666666675</c:v>
                </c:pt>
                <c:pt idx="51">
                  <c:v>10.250000000000009</c:v>
                </c:pt>
                <c:pt idx="52">
                  <c:v>10.333333333333343</c:v>
                </c:pt>
                <c:pt idx="53">
                  <c:v>10.416666666666677</c:v>
                </c:pt>
                <c:pt idx="54">
                  <c:v>10.50000000000001</c:v>
                </c:pt>
                <c:pt idx="55">
                  <c:v>10.583333333333345</c:v>
                </c:pt>
                <c:pt idx="56">
                  <c:v>10.666666666666679</c:v>
                </c:pt>
                <c:pt idx="57">
                  <c:v>10.750000000000012</c:v>
                </c:pt>
                <c:pt idx="58">
                  <c:v>10.833333333333346</c:v>
                </c:pt>
                <c:pt idx="59">
                  <c:v>10.91666666666668</c:v>
                </c:pt>
                <c:pt idx="60">
                  <c:v>11.000000000000014</c:v>
                </c:pt>
                <c:pt idx="61">
                  <c:v>11.083333333333348</c:v>
                </c:pt>
                <c:pt idx="62">
                  <c:v>11.166666666666682</c:v>
                </c:pt>
                <c:pt idx="63">
                  <c:v>11.250000000000016</c:v>
                </c:pt>
                <c:pt idx="64">
                  <c:v>11.33333333333335</c:v>
                </c:pt>
                <c:pt idx="65">
                  <c:v>11.416666666666684</c:v>
                </c:pt>
                <c:pt idx="66">
                  <c:v>11.500000000000018</c:v>
                </c:pt>
                <c:pt idx="67">
                  <c:v>11.583333333333352</c:v>
                </c:pt>
                <c:pt idx="68">
                  <c:v>11.666666666666686</c:v>
                </c:pt>
                <c:pt idx="69">
                  <c:v>11.75000000000002</c:v>
                </c:pt>
                <c:pt idx="70">
                  <c:v>11.833333333333353</c:v>
                </c:pt>
                <c:pt idx="71">
                  <c:v>11.916666666666687</c:v>
                </c:pt>
                <c:pt idx="72">
                  <c:v>12.000000000000021</c:v>
                </c:pt>
                <c:pt idx="73">
                  <c:v>12.083333333333355</c:v>
                </c:pt>
                <c:pt idx="74">
                  <c:v>12.16666666666669</c:v>
                </c:pt>
                <c:pt idx="75">
                  <c:v>12.250000000000023</c:v>
                </c:pt>
                <c:pt idx="76">
                  <c:v>12.333333333333357</c:v>
                </c:pt>
                <c:pt idx="77">
                  <c:v>12.416666666666691</c:v>
                </c:pt>
                <c:pt idx="78">
                  <c:v>12.500000000000025</c:v>
                </c:pt>
                <c:pt idx="79">
                  <c:v>12.583333333333359</c:v>
                </c:pt>
                <c:pt idx="80">
                  <c:v>12.666666666666693</c:v>
                </c:pt>
                <c:pt idx="81">
                  <c:v>12.750000000000027</c:v>
                </c:pt>
                <c:pt idx="82">
                  <c:v>12.83333333333336</c:v>
                </c:pt>
                <c:pt idx="83">
                  <c:v>12.916666666666694</c:v>
                </c:pt>
                <c:pt idx="84">
                  <c:v>13.000000000000028</c:v>
                </c:pt>
                <c:pt idx="85">
                  <c:v>13.083333333333362</c:v>
                </c:pt>
                <c:pt idx="86">
                  <c:v>13.166666666666696</c:v>
                </c:pt>
                <c:pt idx="87">
                  <c:v>13.25000000000003</c:v>
                </c:pt>
                <c:pt idx="88">
                  <c:v>13.333333333333364</c:v>
                </c:pt>
                <c:pt idx="89">
                  <c:v>13.416666666666698</c:v>
                </c:pt>
                <c:pt idx="90">
                  <c:v>13.500000000000032</c:v>
                </c:pt>
                <c:pt idx="91">
                  <c:v>13.583333333333366</c:v>
                </c:pt>
                <c:pt idx="92">
                  <c:v>13.6666666666667</c:v>
                </c:pt>
                <c:pt idx="93">
                  <c:v>13.750000000000034</c:v>
                </c:pt>
                <c:pt idx="94">
                  <c:v>13.833333333333368</c:v>
                </c:pt>
                <c:pt idx="95">
                  <c:v>13.916666666666702</c:v>
                </c:pt>
                <c:pt idx="96">
                  <c:v>14.000000000000036</c:v>
                </c:pt>
                <c:pt idx="97">
                  <c:v>14.08333333333337</c:v>
                </c:pt>
                <c:pt idx="98">
                  <c:v>14.166666666666703</c:v>
                </c:pt>
                <c:pt idx="99">
                  <c:v>14.250000000000037</c:v>
                </c:pt>
                <c:pt idx="100">
                  <c:v>14.333333333333371</c:v>
                </c:pt>
                <c:pt idx="101">
                  <c:v>14.416666666666705</c:v>
                </c:pt>
                <c:pt idx="102">
                  <c:v>14.500000000000039</c:v>
                </c:pt>
                <c:pt idx="103">
                  <c:v>14.583333333333373</c:v>
                </c:pt>
                <c:pt idx="104">
                  <c:v>14.666666666666707</c:v>
                </c:pt>
                <c:pt idx="105">
                  <c:v>14.75000000000004</c:v>
                </c:pt>
                <c:pt idx="106">
                  <c:v>14.833333333333375</c:v>
                </c:pt>
                <c:pt idx="107">
                  <c:v>14.916666666666709</c:v>
                </c:pt>
                <c:pt idx="108">
                  <c:v>15.000000000000043</c:v>
                </c:pt>
                <c:pt idx="109">
                  <c:v>15.083333333333377</c:v>
                </c:pt>
                <c:pt idx="110">
                  <c:v>15.16666666666671</c:v>
                </c:pt>
                <c:pt idx="111">
                  <c:v>15.250000000000044</c:v>
                </c:pt>
                <c:pt idx="112">
                  <c:v>15.333333333333378</c:v>
                </c:pt>
                <c:pt idx="113">
                  <c:v>15.416666666666712</c:v>
                </c:pt>
                <c:pt idx="114">
                  <c:v>15.500000000000046</c:v>
                </c:pt>
                <c:pt idx="115">
                  <c:v>15.58333333333338</c:v>
                </c:pt>
                <c:pt idx="116">
                  <c:v>15.666666666666714</c:v>
                </c:pt>
                <c:pt idx="117">
                  <c:v>15.750000000000048</c:v>
                </c:pt>
                <c:pt idx="118">
                  <c:v>15.833333333333382</c:v>
                </c:pt>
                <c:pt idx="119">
                  <c:v>15.916666666666716</c:v>
                </c:pt>
                <c:pt idx="120">
                  <c:v>16.00000000000005</c:v>
                </c:pt>
                <c:pt idx="121">
                  <c:v>16.083333333333382</c:v>
                </c:pt>
                <c:pt idx="122">
                  <c:v>16.166666666666714</c:v>
                </c:pt>
                <c:pt idx="123">
                  <c:v>16.250000000000046</c:v>
                </c:pt>
                <c:pt idx="124">
                  <c:v>16.33333333333338</c:v>
                </c:pt>
                <c:pt idx="125">
                  <c:v>16.41666666666671</c:v>
                </c:pt>
                <c:pt idx="126">
                  <c:v>16.500000000000043</c:v>
                </c:pt>
                <c:pt idx="127">
                  <c:v>16.583333333333375</c:v>
                </c:pt>
                <c:pt idx="128">
                  <c:v>16.666666666666707</c:v>
                </c:pt>
                <c:pt idx="129">
                  <c:v>16.75000000000004</c:v>
                </c:pt>
                <c:pt idx="130">
                  <c:v>16.83333333333337</c:v>
                </c:pt>
                <c:pt idx="131">
                  <c:v>16.916666666666703</c:v>
                </c:pt>
                <c:pt idx="132">
                  <c:v>17.000000000000036</c:v>
                </c:pt>
                <c:pt idx="133">
                  <c:v>17.083333333333368</c:v>
                </c:pt>
                <c:pt idx="134">
                  <c:v>17.1666666666667</c:v>
                </c:pt>
                <c:pt idx="135">
                  <c:v>17.250000000000032</c:v>
                </c:pt>
                <c:pt idx="136">
                  <c:v>17.333333333333364</c:v>
                </c:pt>
                <c:pt idx="137">
                  <c:v>17.416666666666696</c:v>
                </c:pt>
                <c:pt idx="138">
                  <c:v>17.50000000000003</c:v>
                </c:pt>
                <c:pt idx="139">
                  <c:v>17.58333333333336</c:v>
                </c:pt>
                <c:pt idx="140">
                  <c:v>17.666666666666693</c:v>
                </c:pt>
                <c:pt idx="141">
                  <c:v>17.750000000000025</c:v>
                </c:pt>
                <c:pt idx="142">
                  <c:v>17.833333333333357</c:v>
                </c:pt>
                <c:pt idx="143">
                  <c:v>17.91666666666669</c:v>
                </c:pt>
                <c:pt idx="144">
                  <c:v>18.00000000000002</c:v>
                </c:pt>
              </c:numCache>
            </c:numRef>
          </c:xVal>
          <c:yVal>
            <c:numRef>
              <c:f>Month!$G$5:$G$149</c:f>
              <c:numCache>
                <c:ptCount val="145"/>
                <c:pt idx="0">
                  <c:v>12.81</c:v>
                </c:pt>
                <c:pt idx="1">
                  <c:v>13.532441903067717</c:v>
                </c:pt>
                <c:pt idx="2">
                  <c:v>14.745759295284428</c:v>
                </c:pt>
                <c:pt idx="3">
                  <c:v>15.802900204039407</c:v>
                </c:pt>
                <c:pt idx="4">
                  <c:v>16.73303131451954</c:v>
                </c:pt>
                <c:pt idx="5">
                  <c:v>16.565701001374343</c:v>
                </c:pt>
                <c:pt idx="6">
                  <c:v>16.46873912511513</c:v>
                </c:pt>
                <c:pt idx="7">
                  <c:v>16.417657799334734</c:v>
                </c:pt>
                <c:pt idx="8">
                  <c:v>16.436602118945142</c:v>
                </c:pt>
                <c:pt idx="9">
                  <c:v>16.32440005368682</c:v>
                </c:pt>
                <c:pt idx="10">
                  <c:v>16.448558315480046</c:v>
                </c:pt>
                <c:pt idx="11">
                  <c:v>16.775190497524516</c:v>
                </c:pt>
                <c:pt idx="12">
                  <c:v>17.448042085539225</c:v>
                </c:pt>
                <c:pt idx="13">
                  <c:v>18.447817514938308</c:v>
                </c:pt>
                <c:pt idx="14">
                  <c:v>19.384938726574426</c:v>
                </c:pt>
                <c:pt idx="15">
                  <c:v>19.476283016246235</c:v>
                </c:pt>
                <c:pt idx="16">
                  <c:v>19.562595834705775</c:v>
                </c:pt>
                <c:pt idx="17">
                  <c:v>19.595447629382914</c:v>
                </c:pt>
                <c:pt idx="18">
                  <c:v>19.543653097928377</c:v>
                </c:pt>
                <c:pt idx="19">
                  <c:v>19.7279503803947</c:v>
                </c:pt>
                <c:pt idx="20">
                  <c:v>19.794401841278344</c:v>
                </c:pt>
                <c:pt idx="21">
                  <c:v>19.837998472047104</c:v>
                </c:pt>
                <c:pt idx="22">
                  <c:v>19.823051378336107</c:v>
                </c:pt>
                <c:pt idx="23">
                  <c:v>19.876865133321868</c:v>
                </c:pt>
                <c:pt idx="24">
                  <c:v>20.59640663712041</c:v>
                </c:pt>
                <c:pt idx="25">
                  <c:v>20.931803369853846</c:v>
                </c:pt>
                <c:pt idx="26">
                  <c:v>22.09641050106879</c:v>
                </c:pt>
                <c:pt idx="27">
                  <c:v>23.161933022008856</c:v>
                </c:pt>
                <c:pt idx="28">
                  <c:v>23.02550669143867</c:v>
                </c:pt>
                <c:pt idx="29">
                  <c:v>22.887836056631812</c:v>
                </c:pt>
                <c:pt idx="30">
                  <c:v>22.722211278069484</c:v>
                </c:pt>
                <c:pt idx="31">
                  <c:v>22.55455564071103</c:v>
                </c:pt>
                <c:pt idx="32">
                  <c:v>22.36820957374084</c:v>
                </c:pt>
                <c:pt idx="33">
                  <c:v>22.433980470689377</c:v>
                </c:pt>
                <c:pt idx="34">
                  <c:v>22.446878176275536</c:v>
                </c:pt>
                <c:pt idx="35">
                  <c:v>22.487206409250003</c:v>
                </c:pt>
                <c:pt idx="36">
                  <c:v>22.82868993804088</c:v>
                </c:pt>
                <c:pt idx="37">
                  <c:v>23.76180993507205</c:v>
                </c:pt>
                <c:pt idx="38">
                  <c:v>24.761642453867637</c:v>
                </c:pt>
                <c:pt idx="39">
                  <c:v>25.862497646316942</c:v>
                </c:pt>
                <c:pt idx="40">
                  <c:v>26.096047354989782</c:v>
                </c:pt>
                <c:pt idx="41">
                  <c:v>26.071581316089972</c:v>
                </c:pt>
                <c:pt idx="42">
                  <c:v>25.95204533082814</c:v>
                </c:pt>
                <c:pt idx="43">
                  <c:v>25.770622971378657</c:v>
                </c:pt>
                <c:pt idx="44">
                  <c:v>25.68633890971882</c:v>
                </c:pt>
                <c:pt idx="45">
                  <c:v>25.751127311379687</c:v>
                </c:pt>
                <c:pt idx="46">
                  <c:v>25.61472677701555</c:v>
                </c:pt>
                <c:pt idx="47">
                  <c:v>25.8013673611274</c:v>
                </c:pt>
                <c:pt idx="48">
                  <c:v>26.3161640546204</c:v>
                </c:pt>
                <c:pt idx="49">
                  <c:v>27.18943414582526</c:v>
                </c:pt>
                <c:pt idx="50">
                  <c:v>28.22991877399516</c:v>
                </c:pt>
                <c:pt idx="51">
                  <c:v>29.429117118424216</c:v>
                </c:pt>
                <c:pt idx="52">
                  <c:v>29.19617740726297</c:v>
                </c:pt>
                <c:pt idx="53">
                  <c:v>28.90421563319034</c:v>
                </c:pt>
                <c:pt idx="54">
                  <c:v>28.683617806536034</c:v>
                </c:pt>
                <c:pt idx="55">
                  <c:v>28.486030485849266</c:v>
                </c:pt>
                <c:pt idx="56">
                  <c:v>28.240048862427507</c:v>
                </c:pt>
                <c:pt idx="57">
                  <c:v>28.248112286964993</c:v>
                </c:pt>
                <c:pt idx="58">
                  <c:v>28.271006880845444</c:v>
                </c:pt>
                <c:pt idx="59">
                  <c:v>28.353296176420788</c:v>
                </c:pt>
                <c:pt idx="60">
                  <c:v>28.924704777912144</c:v>
                </c:pt>
                <c:pt idx="61">
                  <c:v>29.536339245474135</c:v>
                </c:pt>
                <c:pt idx="62">
                  <c:v>30.902496771451293</c:v>
                </c:pt>
                <c:pt idx="63">
                  <c:v>31.14693500993363</c:v>
                </c:pt>
                <c:pt idx="64">
                  <c:v>31.055585890981074</c:v>
                </c:pt>
                <c:pt idx="65">
                  <c:v>30.879053310394173</c:v>
                </c:pt>
                <c:pt idx="66">
                  <c:v>30.641384693101198</c:v>
                </c:pt>
                <c:pt idx="67">
                  <c:v>30.783276055607967</c:v>
                </c:pt>
                <c:pt idx="68">
                  <c:v>30.692955748163104</c:v>
                </c:pt>
                <c:pt idx="69">
                  <c:v>30.640876925063665</c:v>
                </c:pt>
                <c:pt idx="70">
                  <c:v>30.563241270054526</c:v>
                </c:pt>
                <c:pt idx="71">
                  <c:v>30.659318470082155</c:v>
                </c:pt>
                <c:pt idx="72">
                  <c:v>31.284003860233202</c:v>
                </c:pt>
                <c:pt idx="73">
                  <c:v>32.136939646519835</c:v>
                </c:pt>
                <c:pt idx="74">
                  <c:v>33.19556128459221</c:v>
                </c:pt>
                <c:pt idx="75">
                  <c:v>32.97766527885576</c:v>
                </c:pt>
                <c:pt idx="76">
                  <c:v>32.79006906843886</c:v>
                </c:pt>
                <c:pt idx="77">
                  <c:v>32.55798005238427</c:v>
                </c:pt>
                <c:pt idx="78">
                  <c:v>32.33511066127498</c:v>
                </c:pt>
                <c:pt idx="79">
                  <c:v>32.43281408279001</c:v>
                </c:pt>
                <c:pt idx="80">
                  <c:v>32.55337858174237</c:v>
                </c:pt>
                <c:pt idx="81">
                  <c:v>32.55636622337741</c:v>
                </c:pt>
                <c:pt idx="82">
                  <c:v>32.594534214004206</c:v>
                </c:pt>
                <c:pt idx="83">
                  <c:v>32.69866762172319</c:v>
                </c:pt>
                <c:pt idx="84">
                  <c:v>33.32219988102278</c:v>
                </c:pt>
                <c:pt idx="85">
                  <c:v>34.12151258854795</c:v>
                </c:pt>
                <c:pt idx="86">
                  <c:v>35.198289211222274</c:v>
                </c:pt>
                <c:pt idx="87">
                  <c:v>35.96511286137205</c:v>
                </c:pt>
                <c:pt idx="88">
                  <c:v>36.83525672927783</c:v>
                </c:pt>
                <c:pt idx="89">
                  <c:v>36.77299978306381</c:v>
                </c:pt>
                <c:pt idx="90">
                  <c:v>36.53383515105909</c:v>
                </c:pt>
                <c:pt idx="91">
                  <c:v>36.24423421005719</c:v>
                </c:pt>
                <c:pt idx="92">
                  <c:v>36.20750380276695</c:v>
                </c:pt>
                <c:pt idx="93">
                  <c:v>35.969576210317285</c:v>
                </c:pt>
                <c:pt idx="94">
                  <c:v>35.675657872557416</c:v>
                </c:pt>
                <c:pt idx="95">
                  <c:v>35.558331540352455</c:v>
                </c:pt>
                <c:pt idx="96">
                  <c:v>36.188084152013396</c:v>
                </c:pt>
                <c:pt idx="97">
                  <c:v>36.44581097577149</c:v>
                </c:pt>
                <c:pt idx="98">
                  <c:v>37.607609943390706</c:v>
                </c:pt>
                <c:pt idx="99">
                  <c:v>37.46342820440649</c:v>
                </c:pt>
                <c:pt idx="100">
                  <c:v>37.16287552471436</c:v>
                </c:pt>
                <c:pt idx="101">
                  <c:v>36.81691946762815</c:v>
                </c:pt>
                <c:pt idx="102">
                  <c:v>36.51902534473152</c:v>
                </c:pt>
                <c:pt idx="103">
                  <c:v>36.21552360306551</c:v>
                </c:pt>
                <c:pt idx="104">
                  <c:v>36.2191276811577</c:v>
                </c:pt>
                <c:pt idx="105">
                  <c:v>36.180207481795705</c:v>
                </c:pt>
                <c:pt idx="106">
                  <c:v>36.09081329364974</c:v>
                </c:pt>
                <c:pt idx="107">
                  <c:v>36.405260387436165</c:v>
                </c:pt>
                <c:pt idx="108">
                  <c:v>37.05421235707096</c:v>
                </c:pt>
                <c:pt idx="109">
                  <c:v>37.87701597731563</c:v>
                </c:pt>
                <c:pt idx="110">
                  <c:v>38.69318937799295</c:v>
                </c:pt>
                <c:pt idx="111">
                  <c:v>38.37164086201085</c:v>
                </c:pt>
                <c:pt idx="112">
                  <c:v>38.092502283165125</c:v>
                </c:pt>
                <c:pt idx="113">
                  <c:v>37.78353355164871</c:v>
                </c:pt>
                <c:pt idx="114">
                  <c:v>37.482112868685014</c:v>
                </c:pt>
                <c:pt idx="115">
                  <c:v>37.20732707160566</c:v>
                </c:pt>
                <c:pt idx="116">
                  <c:v>37.401635633940636</c:v>
                </c:pt>
                <c:pt idx="117">
                  <c:v>37.29177189165381</c:v>
                </c:pt>
                <c:pt idx="118">
                  <c:v>37.12909200377361</c:v>
                </c:pt>
                <c:pt idx="119">
                  <c:v>37.05242462001881</c:v>
                </c:pt>
                <c:pt idx="120">
                  <c:v>37.5414735034394</c:v>
                </c:pt>
                <c:pt idx="121">
                  <c:v>38.388421272062935</c:v>
                </c:pt>
                <c:pt idx="122">
                  <c:v>39.407733427993016</c:v>
                </c:pt>
                <c:pt idx="123">
                  <c:v>39.106020549911705</c:v>
                </c:pt>
                <c:pt idx="124">
                  <c:v>38.75909376080942</c:v>
                </c:pt>
                <c:pt idx="125">
                  <c:v>38.468965506632614</c:v>
                </c:pt>
                <c:pt idx="126">
                  <c:v>38.41631080006236</c:v>
                </c:pt>
                <c:pt idx="127">
                  <c:v>38.437749053271716</c:v>
                </c:pt>
                <c:pt idx="128">
                  <c:v>38.44539265290669</c:v>
                </c:pt>
                <c:pt idx="129">
                  <c:v>38.28698239510792</c:v>
                </c:pt>
                <c:pt idx="130">
                  <c:v>37.9652605311614</c:v>
                </c:pt>
                <c:pt idx="131">
                  <c:v>37.79617224099994</c:v>
                </c:pt>
                <c:pt idx="132">
                  <c:v>37.78740878052626</c:v>
                </c:pt>
                <c:pt idx="133">
                  <c:v>37.75246292179936</c:v>
                </c:pt>
                <c:pt idx="134">
                  <c:v>38.44851982893454</c:v>
                </c:pt>
                <c:pt idx="135">
                  <c:v>38.30926764593301</c:v>
                </c:pt>
                <c:pt idx="136">
                  <c:v>38.438566908473646</c:v>
                </c:pt>
                <c:pt idx="137">
                  <c:v>38.205503109744704</c:v>
                </c:pt>
                <c:pt idx="138">
                  <c:v>37.988460313294</c:v>
                </c:pt>
                <c:pt idx="139">
                  <c:v>37.82592729726309</c:v>
                </c:pt>
                <c:pt idx="140">
                  <c:v>37.88578853566046</c:v>
                </c:pt>
                <c:pt idx="141">
                  <c:v>37.66708934706699</c:v>
                </c:pt>
                <c:pt idx="142">
                  <c:v>37.42191341059623</c:v>
                </c:pt>
                <c:pt idx="143">
                  <c:v>37.25832849817999</c:v>
                </c:pt>
                <c:pt idx="144">
                  <c:v>37.35999473863937</c:v>
                </c:pt>
              </c:numCache>
            </c:numRef>
          </c:yVal>
          <c:smooth val="1"/>
        </c:ser>
        <c:axId val="36603101"/>
        <c:axId val="60992454"/>
      </c:scatterChart>
      <c:valAx>
        <c:axId val="3660310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 val="autoZero"/>
        <c:crossBetween val="midCat"/>
        <c:dispUnits/>
        <c:majorUnit val="2"/>
      </c:valAx>
      <c:valAx>
        <c:axId val="6099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Root biomass (Mg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25"/>
          <c:y val="0.90475"/>
          <c:w val="0.542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28"/>
          <c:w val="0.8692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'DadosReais&amp;Graficos'!$B$59:$B$70</c:f>
              <c:numCache/>
            </c:numRef>
          </c:xVal>
          <c:yVal>
            <c:numRef>
              <c:f>'DadosReais&amp;Graficos'!$I$59:$I$70</c:f>
              <c:numCache/>
            </c:numRef>
          </c:yVal>
          <c:smooth val="1"/>
        </c:ser>
        <c:ser>
          <c:idx val="1"/>
          <c:order val="1"/>
          <c:tx>
            <c:v>predicted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Month!$C$5:$C$149</c:f>
              <c:numCache>
                <c:ptCount val="145"/>
                <c:pt idx="0">
                  <c:v>6</c:v>
                </c:pt>
                <c:pt idx="1">
                  <c:v>6.083333333333333</c:v>
                </c:pt>
                <c:pt idx="2">
                  <c:v>6.166666666666666</c:v>
                </c:pt>
                <c:pt idx="3">
                  <c:v>6.249999999999999</c:v>
                </c:pt>
                <c:pt idx="4">
                  <c:v>6.333333333333332</c:v>
                </c:pt>
                <c:pt idx="5">
                  <c:v>6.416666666666665</c:v>
                </c:pt>
                <c:pt idx="6">
                  <c:v>6.499999999999998</c:v>
                </c:pt>
                <c:pt idx="7">
                  <c:v>6.583333333333331</c:v>
                </c:pt>
                <c:pt idx="8">
                  <c:v>6.666666666666664</c:v>
                </c:pt>
                <c:pt idx="9">
                  <c:v>6.749999999999997</c:v>
                </c:pt>
                <c:pt idx="10">
                  <c:v>6.83333333333333</c:v>
                </c:pt>
                <c:pt idx="11">
                  <c:v>6.916666666666663</c:v>
                </c:pt>
                <c:pt idx="12">
                  <c:v>6.9999999999999964</c:v>
                </c:pt>
                <c:pt idx="13">
                  <c:v>7.0833333333333295</c:v>
                </c:pt>
                <c:pt idx="14">
                  <c:v>7.1666666666666625</c:v>
                </c:pt>
                <c:pt idx="15">
                  <c:v>7.249999999999996</c:v>
                </c:pt>
                <c:pt idx="16">
                  <c:v>7.333333333333329</c:v>
                </c:pt>
                <c:pt idx="17">
                  <c:v>7.416666666666662</c:v>
                </c:pt>
                <c:pt idx="18">
                  <c:v>7.499999999999995</c:v>
                </c:pt>
                <c:pt idx="19">
                  <c:v>7.583333333333328</c:v>
                </c:pt>
                <c:pt idx="20">
                  <c:v>7.666666666666661</c:v>
                </c:pt>
                <c:pt idx="21">
                  <c:v>7.749999999999994</c:v>
                </c:pt>
                <c:pt idx="22">
                  <c:v>7.833333333333327</c:v>
                </c:pt>
                <c:pt idx="23">
                  <c:v>7.91666666666666</c:v>
                </c:pt>
                <c:pt idx="24">
                  <c:v>7.999999999999993</c:v>
                </c:pt>
                <c:pt idx="25">
                  <c:v>8.083333333333327</c:v>
                </c:pt>
                <c:pt idx="26">
                  <c:v>8.16666666666666</c:v>
                </c:pt>
                <c:pt idx="27">
                  <c:v>8.249999999999995</c:v>
                </c:pt>
                <c:pt idx="28">
                  <c:v>8.333333333333329</c:v>
                </c:pt>
                <c:pt idx="29">
                  <c:v>8.416666666666663</c:v>
                </c:pt>
                <c:pt idx="30">
                  <c:v>8.499999999999996</c:v>
                </c:pt>
                <c:pt idx="31">
                  <c:v>8.58333333333333</c:v>
                </c:pt>
                <c:pt idx="32">
                  <c:v>8.666666666666664</c:v>
                </c:pt>
                <c:pt idx="33">
                  <c:v>8.749999999999998</c:v>
                </c:pt>
                <c:pt idx="34">
                  <c:v>8.833333333333332</c:v>
                </c:pt>
                <c:pt idx="35">
                  <c:v>8.916666666666666</c:v>
                </c:pt>
                <c:pt idx="36">
                  <c:v>9</c:v>
                </c:pt>
                <c:pt idx="37">
                  <c:v>9.083333333333334</c:v>
                </c:pt>
                <c:pt idx="38">
                  <c:v>9.166666666666668</c:v>
                </c:pt>
                <c:pt idx="39">
                  <c:v>9.250000000000002</c:v>
                </c:pt>
                <c:pt idx="40">
                  <c:v>9.333333333333336</c:v>
                </c:pt>
                <c:pt idx="41">
                  <c:v>9.41666666666667</c:v>
                </c:pt>
                <c:pt idx="42">
                  <c:v>9.500000000000004</c:v>
                </c:pt>
                <c:pt idx="43">
                  <c:v>9.583333333333337</c:v>
                </c:pt>
                <c:pt idx="44">
                  <c:v>9.666666666666671</c:v>
                </c:pt>
                <c:pt idx="45">
                  <c:v>9.750000000000005</c:v>
                </c:pt>
                <c:pt idx="46">
                  <c:v>9.83333333333334</c:v>
                </c:pt>
                <c:pt idx="47">
                  <c:v>9.916666666666673</c:v>
                </c:pt>
                <c:pt idx="48">
                  <c:v>10.000000000000007</c:v>
                </c:pt>
                <c:pt idx="49">
                  <c:v>10.083333333333341</c:v>
                </c:pt>
                <c:pt idx="50">
                  <c:v>10.166666666666675</c:v>
                </c:pt>
                <c:pt idx="51">
                  <c:v>10.250000000000009</c:v>
                </c:pt>
                <c:pt idx="52">
                  <c:v>10.333333333333343</c:v>
                </c:pt>
                <c:pt idx="53">
                  <c:v>10.416666666666677</c:v>
                </c:pt>
                <c:pt idx="54">
                  <c:v>10.50000000000001</c:v>
                </c:pt>
                <c:pt idx="55">
                  <c:v>10.583333333333345</c:v>
                </c:pt>
                <c:pt idx="56">
                  <c:v>10.666666666666679</c:v>
                </c:pt>
                <c:pt idx="57">
                  <c:v>10.750000000000012</c:v>
                </c:pt>
                <c:pt idx="58">
                  <c:v>10.833333333333346</c:v>
                </c:pt>
                <c:pt idx="59">
                  <c:v>10.91666666666668</c:v>
                </c:pt>
                <c:pt idx="60">
                  <c:v>11.000000000000014</c:v>
                </c:pt>
                <c:pt idx="61">
                  <c:v>11.083333333333348</c:v>
                </c:pt>
                <c:pt idx="62">
                  <c:v>11.166666666666682</c:v>
                </c:pt>
                <c:pt idx="63">
                  <c:v>11.250000000000016</c:v>
                </c:pt>
                <c:pt idx="64">
                  <c:v>11.33333333333335</c:v>
                </c:pt>
                <c:pt idx="65">
                  <c:v>11.416666666666684</c:v>
                </c:pt>
                <c:pt idx="66">
                  <c:v>11.500000000000018</c:v>
                </c:pt>
                <c:pt idx="67">
                  <c:v>11.583333333333352</c:v>
                </c:pt>
                <c:pt idx="68">
                  <c:v>11.666666666666686</c:v>
                </c:pt>
                <c:pt idx="69">
                  <c:v>11.75000000000002</c:v>
                </c:pt>
                <c:pt idx="70">
                  <c:v>11.833333333333353</c:v>
                </c:pt>
                <c:pt idx="71">
                  <c:v>11.916666666666687</c:v>
                </c:pt>
                <c:pt idx="72">
                  <c:v>12.000000000000021</c:v>
                </c:pt>
                <c:pt idx="73">
                  <c:v>12.083333333333355</c:v>
                </c:pt>
                <c:pt idx="74">
                  <c:v>12.16666666666669</c:v>
                </c:pt>
                <c:pt idx="75">
                  <c:v>12.250000000000023</c:v>
                </c:pt>
                <c:pt idx="76">
                  <c:v>12.333333333333357</c:v>
                </c:pt>
                <c:pt idx="77">
                  <c:v>12.416666666666691</c:v>
                </c:pt>
                <c:pt idx="78">
                  <c:v>12.500000000000025</c:v>
                </c:pt>
                <c:pt idx="79">
                  <c:v>12.583333333333359</c:v>
                </c:pt>
                <c:pt idx="80">
                  <c:v>12.666666666666693</c:v>
                </c:pt>
                <c:pt idx="81">
                  <c:v>12.750000000000027</c:v>
                </c:pt>
                <c:pt idx="82">
                  <c:v>12.83333333333336</c:v>
                </c:pt>
                <c:pt idx="83">
                  <c:v>12.916666666666694</c:v>
                </c:pt>
                <c:pt idx="84">
                  <c:v>13.000000000000028</c:v>
                </c:pt>
                <c:pt idx="85">
                  <c:v>13.083333333333362</c:v>
                </c:pt>
                <c:pt idx="86">
                  <c:v>13.166666666666696</c:v>
                </c:pt>
                <c:pt idx="87">
                  <c:v>13.25000000000003</c:v>
                </c:pt>
                <c:pt idx="88">
                  <c:v>13.333333333333364</c:v>
                </c:pt>
                <c:pt idx="89">
                  <c:v>13.416666666666698</c:v>
                </c:pt>
                <c:pt idx="90">
                  <c:v>13.500000000000032</c:v>
                </c:pt>
                <c:pt idx="91">
                  <c:v>13.583333333333366</c:v>
                </c:pt>
                <c:pt idx="92">
                  <c:v>13.6666666666667</c:v>
                </c:pt>
                <c:pt idx="93">
                  <c:v>13.750000000000034</c:v>
                </c:pt>
                <c:pt idx="94">
                  <c:v>13.833333333333368</c:v>
                </c:pt>
                <c:pt idx="95">
                  <c:v>13.916666666666702</c:v>
                </c:pt>
                <c:pt idx="96">
                  <c:v>14.000000000000036</c:v>
                </c:pt>
                <c:pt idx="97">
                  <c:v>14.08333333333337</c:v>
                </c:pt>
                <c:pt idx="98">
                  <c:v>14.166666666666703</c:v>
                </c:pt>
                <c:pt idx="99">
                  <c:v>14.250000000000037</c:v>
                </c:pt>
                <c:pt idx="100">
                  <c:v>14.333333333333371</c:v>
                </c:pt>
                <c:pt idx="101">
                  <c:v>14.416666666666705</c:v>
                </c:pt>
                <c:pt idx="102">
                  <c:v>14.500000000000039</c:v>
                </c:pt>
                <c:pt idx="103">
                  <c:v>14.583333333333373</c:v>
                </c:pt>
                <c:pt idx="104">
                  <c:v>14.666666666666707</c:v>
                </c:pt>
                <c:pt idx="105">
                  <c:v>14.75000000000004</c:v>
                </c:pt>
                <c:pt idx="106">
                  <c:v>14.833333333333375</c:v>
                </c:pt>
                <c:pt idx="107">
                  <c:v>14.916666666666709</c:v>
                </c:pt>
                <c:pt idx="108">
                  <c:v>15.000000000000043</c:v>
                </c:pt>
                <c:pt idx="109">
                  <c:v>15.083333333333377</c:v>
                </c:pt>
                <c:pt idx="110">
                  <c:v>15.16666666666671</c:v>
                </c:pt>
                <c:pt idx="111">
                  <c:v>15.250000000000044</c:v>
                </c:pt>
                <c:pt idx="112">
                  <c:v>15.333333333333378</c:v>
                </c:pt>
                <c:pt idx="113">
                  <c:v>15.416666666666712</c:v>
                </c:pt>
                <c:pt idx="114">
                  <c:v>15.500000000000046</c:v>
                </c:pt>
                <c:pt idx="115">
                  <c:v>15.58333333333338</c:v>
                </c:pt>
                <c:pt idx="116">
                  <c:v>15.666666666666714</c:v>
                </c:pt>
                <c:pt idx="117">
                  <c:v>15.750000000000048</c:v>
                </c:pt>
                <c:pt idx="118">
                  <c:v>15.833333333333382</c:v>
                </c:pt>
                <c:pt idx="119">
                  <c:v>15.916666666666716</c:v>
                </c:pt>
                <c:pt idx="120">
                  <c:v>16.00000000000005</c:v>
                </c:pt>
                <c:pt idx="121">
                  <c:v>16.083333333333382</c:v>
                </c:pt>
                <c:pt idx="122">
                  <c:v>16.166666666666714</c:v>
                </c:pt>
                <c:pt idx="123">
                  <c:v>16.250000000000046</c:v>
                </c:pt>
                <c:pt idx="124">
                  <c:v>16.33333333333338</c:v>
                </c:pt>
                <c:pt idx="125">
                  <c:v>16.41666666666671</c:v>
                </c:pt>
                <c:pt idx="126">
                  <c:v>16.500000000000043</c:v>
                </c:pt>
                <c:pt idx="127">
                  <c:v>16.583333333333375</c:v>
                </c:pt>
                <c:pt idx="128">
                  <c:v>16.666666666666707</c:v>
                </c:pt>
                <c:pt idx="129">
                  <c:v>16.75000000000004</c:v>
                </c:pt>
                <c:pt idx="130">
                  <c:v>16.83333333333337</c:v>
                </c:pt>
                <c:pt idx="131">
                  <c:v>16.916666666666703</c:v>
                </c:pt>
                <c:pt idx="132">
                  <c:v>17.000000000000036</c:v>
                </c:pt>
                <c:pt idx="133">
                  <c:v>17.083333333333368</c:v>
                </c:pt>
                <c:pt idx="134">
                  <c:v>17.1666666666667</c:v>
                </c:pt>
                <c:pt idx="135">
                  <c:v>17.250000000000032</c:v>
                </c:pt>
                <c:pt idx="136">
                  <c:v>17.333333333333364</c:v>
                </c:pt>
                <c:pt idx="137">
                  <c:v>17.416666666666696</c:v>
                </c:pt>
                <c:pt idx="138">
                  <c:v>17.50000000000003</c:v>
                </c:pt>
                <c:pt idx="139">
                  <c:v>17.58333333333336</c:v>
                </c:pt>
                <c:pt idx="140">
                  <c:v>17.666666666666693</c:v>
                </c:pt>
                <c:pt idx="141">
                  <c:v>17.750000000000025</c:v>
                </c:pt>
                <c:pt idx="142">
                  <c:v>17.833333333333357</c:v>
                </c:pt>
                <c:pt idx="143">
                  <c:v>17.91666666666669</c:v>
                </c:pt>
                <c:pt idx="144">
                  <c:v>18.00000000000002</c:v>
                </c:pt>
              </c:numCache>
            </c:numRef>
          </c:xVal>
          <c:yVal>
            <c:numRef>
              <c:f>Month!$W$5:$W$149</c:f>
              <c:numCache>
                <c:ptCount val="145"/>
                <c:pt idx="0">
                  <c:v>79.08444444444444</c:v>
                </c:pt>
                <c:pt idx="1">
                  <c:v>83.50635788339777</c:v>
                </c:pt>
                <c:pt idx="2">
                  <c:v>90.40709866600085</c:v>
                </c:pt>
                <c:pt idx="3">
                  <c:v>95.87625282007217</c:v>
                </c:pt>
                <c:pt idx="4">
                  <c:v>100.70479654089232</c:v>
                </c:pt>
                <c:pt idx="5">
                  <c:v>100.94938422261181</c:v>
                </c:pt>
                <c:pt idx="6">
                  <c:v>101.30296601194226</c:v>
                </c:pt>
                <c:pt idx="7">
                  <c:v>101.73878841020007</c:v>
                </c:pt>
                <c:pt idx="8">
                  <c:v>102.3741368929902</c:v>
                </c:pt>
                <c:pt idx="9">
                  <c:v>102.69408622619548</c:v>
                </c:pt>
                <c:pt idx="10">
                  <c:v>104.37451317258487</c:v>
                </c:pt>
                <c:pt idx="11">
                  <c:v>107.11423286101873</c:v>
                </c:pt>
                <c:pt idx="12">
                  <c:v>111.44427802362895</c:v>
                </c:pt>
                <c:pt idx="13">
                  <c:v>117.17871700313441</c:v>
                </c:pt>
                <c:pt idx="14">
                  <c:v>121.69125690143154</c:v>
                </c:pt>
                <c:pt idx="15">
                  <c:v>122.46625712607965</c:v>
                </c:pt>
                <c:pt idx="16">
                  <c:v>123.24117829951803</c:v>
                </c:pt>
                <c:pt idx="17">
                  <c:v>123.88959366858131</c:v>
                </c:pt>
                <c:pt idx="18">
                  <c:v>124.36310905510089</c:v>
                </c:pt>
                <c:pt idx="19">
                  <c:v>125.57358031720071</c:v>
                </c:pt>
                <c:pt idx="20">
                  <c:v>126.63928246062594</c:v>
                </c:pt>
                <c:pt idx="21">
                  <c:v>128.13099797461047</c:v>
                </c:pt>
                <c:pt idx="22">
                  <c:v>129.25776677991587</c:v>
                </c:pt>
                <c:pt idx="23">
                  <c:v>130.80368329599452</c:v>
                </c:pt>
                <c:pt idx="24">
                  <c:v>135.61243202475768</c:v>
                </c:pt>
                <c:pt idx="25">
                  <c:v>137.4837389743585</c:v>
                </c:pt>
                <c:pt idx="26">
                  <c:v>144.88194930922361</c:v>
                </c:pt>
                <c:pt idx="27">
                  <c:v>151.15979244605532</c:v>
                </c:pt>
                <c:pt idx="28">
                  <c:v>151.51015682627386</c:v>
                </c:pt>
                <c:pt idx="29">
                  <c:v>151.85012713347658</c:v>
                </c:pt>
                <c:pt idx="30">
                  <c:v>152.13430249963508</c:v>
                </c:pt>
                <c:pt idx="31">
                  <c:v>152.40659833391786</c:v>
                </c:pt>
                <c:pt idx="32">
                  <c:v>152.64004965563694</c:v>
                </c:pt>
                <c:pt idx="33">
                  <c:v>154.2909687206251</c:v>
                </c:pt>
                <c:pt idx="34">
                  <c:v>155.74412890295145</c:v>
                </c:pt>
                <c:pt idx="35">
                  <c:v>157.30643735185478</c:v>
                </c:pt>
                <c:pt idx="36">
                  <c:v>160.47834635075702</c:v>
                </c:pt>
                <c:pt idx="37">
                  <c:v>166.59588483299865</c:v>
                </c:pt>
                <c:pt idx="38">
                  <c:v>173.40234179600517</c:v>
                </c:pt>
                <c:pt idx="39">
                  <c:v>180.4157315565247</c:v>
                </c:pt>
                <c:pt idx="40">
                  <c:v>181.6867243625745</c:v>
                </c:pt>
                <c:pt idx="41">
                  <c:v>182.30015051622027</c:v>
                </c:pt>
                <c:pt idx="42">
                  <c:v>182.70817269732098</c:v>
                </c:pt>
                <c:pt idx="43">
                  <c:v>182.99126947866696</c:v>
                </c:pt>
                <c:pt idx="44">
                  <c:v>183.57101946308634</c:v>
                </c:pt>
                <c:pt idx="45">
                  <c:v>185.47357438520373</c:v>
                </c:pt>
                <c:pt idx="46">
                  <c:v>186.26248365378288</c:v>
                </c:pt>
                <c:pt idx="47">
                  <c:v>188.84422684385555</c:v>
                </c:pt>
                <c:pt idx="48">
                  <c:v>193.08121048401094</c:v>
                </c:pt>
                <c:pt idx="49">
                  <c:v>199.14070155666062</c:v>
                </c:pt>
                <c:pt idx="50">
                  <c:v>206.1466968399157</c:v>
                </c:pt>
                <c:pt idx="51">
                  <c:v>213.81906562622316</c:v>
                </c:pt>
                <c:pt idx="52">
                  <c:v>214.0558164368839</c:v>
                </c:pt>
                <c:pt idx="53">
                  <c:v>214.17797259909614</c:v>
                </c:pt>
                <c:pt idx="54">
                  <c:v>214.42071301844922</c:v>
                </c:pt>
                <c:pt idx="55">
                  <c:v>214.70121674184867</c:v>
                </c:pt>
                <c:pt idx="56">
                  <c:v>214.88568756456314</c:v>
                </c:pt>
                <c:pt idx="57">
                  <c:v>216.5432008671665</c:v>
                </c:pt>
                <c:pt idx="58">
                  <c:v>218.3549042749284</c:v>
                </c:pt>
                <c:pt idx="59">
                  <c:v>220.5438306925248</c:v>
                </c:pt>
                <c:pt idx="60">
                  <c:v>225.31671689123678</c:v>
                </c:pt>
                <c:pt idx="61">
                  <c:v>230.38703352951356</c:v>
                </c:pt>
                <c:pt idx="62">
                  <c:v>239.15359116589264</c:v>
                </c:pt>
                <c:pt idx="63">
                  <c:v>240.5454718461388</c:v>
                </c:pt>
                <c:pt idx="64">
                  <c:v>241.0739991158209</c:v>
                </c:pt>
                <c:pt idx="65">
                  <c:v>241.419144388659</c:v>
                </c:pt>
                <c:pt idx="66">
                  <c:v>241.6435276301071</c:v>
                </c:pt>
                <c:pt idx="67">
                  <c:v>243.01427174182604</c:v>
                </c:pt>
                <c:pt idx="68">
                  <c:v>243.67989924660097</c:v>
                </c:pt>
                <c:pt idx="69">
                  <c:v>245.17706862517602</c:v>
                </c:pt>
                <c:pt idx="70">
                  <c:v>246.53014262723642</c:v>
                </c:pt>
                <c:pt idx="71">
                  <c:v>248.8595822315788</c:v>
                </c:pt>
                <c:pt idx="72">
                  <c:v>253.8203086147476</c:v>
                </c:pt>
                <c:pt idx="73">
                  <c:v>260.09537472252475</c:v>
                </c:pt>
                <c:pt idx="74">
                  <c:v>267.0362178350691</c:v>
                </c:pt>
                <c:pt idx="75">
                  <c:v>267.32544811899373</c:v>
                </c:pt>
                <c:pt idx="76">
                  <c:v>267.6731970348905</c:v>
                </c:pt>
                <c:pt idx="77">
                  <c:v>267.926710918354</c:v>
                </c:pt>
                <c:pt idx="78">
                  <c:v>268.1958460613384</c:v>
                </c:pt>
                <c:pt idx="79">
                  <c:v>269.71599247920705</c:v>
                </c:pt>
                <c:pt idx="80">
                  <c:v>272.20260813316685</c:v>
                </c:pt>
                <c:pt idx="81">
                  <c:v>274.14318726013386</c:v>
                </c:pt>
                <c:pt idx="82">
                  <c:v>276.28316927873476</c:v>
                </c:pt>
                <c:pt idx="83">
                  <c:v>278.7419395452612</c:v>
                </c:pt>
                <c:pt idx="84">
                  <c:v>283.742217808205</c:v>
                </c:pt>
                <c:pt idx="85">
                  <c:v>290.1096941272086</c:v>
                </c:pt>
                <c:pt idx="86">
                  <c:v>297.76795258387864</c:v>
                </c:pt>
                <c:pt idx="87">
                  <c:v>302.4792446911063</c:v>
                </c:pt>
                <c:pt idx="88">
                  <c:v>307.2769507111019</c:v>
                </c:pt>
                <c:pt idx="89">
                  <c:v>307.9802964992932</c:v>
                </c:pt>
                <c:pt idx="90">
                  <c:v>308.285769251765</c:v>
                </c:pt>
                <c:pt idx="91">
                  <c:v>308.48626004818664</c:v>
                </c:pt>
                <c:pt idx="92">
                  <c:v>309.7302853615351</c:v>
                </c:pt>
                <c:pt idx="93">
                  <c:v>310.31268956790313</c:v>
                </c:pt>
                <c:pt idx="94">
                  <c:v>310.5293549257915</c:v>
                </c:pt>
                <c:pt idx="95">
                  <c:v>311.28854810734714</c:v>
                </c:pt>
                <c:pt idx="96">
                  <c:v>316.51390051819743</c:v>
                </c:pt>
                <c:pt idx="97">
                  <c:v>318.5314102082385</c:v>
                </c:pt>
                <c:pt idx="98">
                  <c:v>326.1844196840958</c:v>
                </c:pt>
                <c:pt idx="99">
                  <c:v>326.68989499499617</c:v>
                </c:pt>
                <c:pt idx="100">
                  <c:v>326.87671576761966</c:v>
                </c:pt>
                <c:pt idx="101">
                  <c:v>326.97015695676265</c:v>
                </c:pt>
                <c:pt idx="102">
                  <c:v>327.1448315678452</c:v>
                </c:pt>
                <c:pt idx="103">
                  <c:v>327.3023789060946</c:v>
                </c:pt>
                <c:pt idx="104">
                  <c:v>328.899960222117</c:v>
                </c:pt>
                <c:pt idx="105">
                  <c:v>330.82551555913216</c:v>
                </c:pt>
                <c:pt idx="106">
                  <c:v>332.353983198771</c:v>
                </c:pt>
                <c:pt idx="107">
                  <c:v>336.11633174552713</c:v>
                </c:pt>
                <c:pt idx="108">
                  <c:v>341.2374702171824</c:v>
                </c:pt>
                <c:pt idx="109">
                  <c:v>347.2890664444463</c:v>
                </c:pt>
                <c:pt idx="110">
                  <c:v>352.6483498992868</c:v>
                </c:pt>
                <c:pt idx="111">
                  <c:v>352.8066778133768</c:v>
                </c:pt>
                <c:pt idx="112">
                  <c:v>353.03665864024106</c:v>
                </c:pt>
                <c:pt idx="113">
                  <c:v>353.2053249749695</c:v>
                </c:pt>
                <c:pt idx="114">
                  <c:v>353.38111166669574</c:v>
                </c:pt>
                <c:pt idx="115">
                  <c:v>353.61029673018237</c:v>
                </c:pt>
                <c:pt idx="116">
                  <c:v>356.70007843005595</c:v>
                </c:pt>
                <c:pt idx="117">
                  <c:v>358.2279907992046</c:v>
                </c:pt>
                <c:pt idx="118">
                  <c:v>359.4094309760288</c:v>
                </c:pt>
                <c:pt idx="119">
                  <c:v>361.08504769144037</c:v>
                </c:pt>
                <c:pt idx="120">
                  <c:v>365.9420633093798</c:v>
                </c:pt>
                <c:pt idx="121">
                  <c:v>372.3572352314092</c:v>
                </c:pt>
                <c:pt idx="122">
                  <c:v>378.949669818254</c:v>
                </c:pt>
                <c:pt idx="123">
                  <c:v>379.1494317142253</c:v>
                </c:pt>
                <c:pt idx="124">
                  <c:v>379.2587969169673</c:v>
                </c:pt>
                <c:pt idx="125">
                  <c:v>379.4664897768513</c:v>
                </c:pt>
                <c:pt idx="126">
                  <c:v>380.27167273697745</c:v>
                </c:pt>
                <c:pt idx="127">
                  <c:v>381.47454618590126</c:v>
                </c:pt>
                <c:pt idx="128">
                  <c:v>383.2503305554454</c:v>
                </c:pt>
                <c:pt idx="129">
                  <c:v>384.35691397504183</c:v>
                </c:pt>
                <c:pt idx="130">
                  <c:v>384.60683336024005</c:v>
                </c:pt>
                <c:pt idx="131">
                  <c:v>385.3883855741118</c:v>
                </c:pt>
                <c:pt idx="132">
                  <c:v>386.3700738120359</c:v>
                </c:pt>
                <c:pt idx="133">
                  <c:v>387.2027046724293</c:v>
                </c:pt>
                <c:pt idx="134">
                  <c:v>391.2872745179202</c:v>
                </c:pt>
                <c:pt idx="135">
                  <c:v>391.8040493810495</c:v>
                </c:pt>
                <c:pt idx="136">
                  <c:v>393.08948953605784</c:v>
                </c:pt>
                <c:pt idx="137">
                  <c:v>393.4025704761205</c:v>
                </c:pt>
                <c:pt idx="138">
                  <c:v>393.75395302770556</c:v>
                </c:pt>
                <c:pt idx="139">
                  <c:v>394.2734754181162</c:v>
                </c:pt>
                <c:pt idx="140">
                  <c:v>396.24002324402574</c:v>
                </c:pt>
                <c:pt idx="141">
                  <c:v>396.73873596883624</c:v>
                </c:pt>
                <c:pt idx="142">
                  <c:v>397.4563374394288</c:v>
                </c:pt>
                <c:pt idx="143">
                  <c:v>398.2845189742404</c:v>
                </c:pt>
              </c:numCache>
            </c:numRef>
          </c:yVal>
          <c:smooth val="1"/>
        </c:ser>
        <c:axId val="12061175"/>
        <c:axId val="41441712"/>
      </c:scatterChart>
      <c:valAx>
        <c:axId val="1206117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 val="autoZero"/>
        <c:crossBetween val="midCat"/>
        <c:dispUnits/>
        <c:majorUnit val="2"/>
      </c:val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volume under bark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908"/>
          <c:w val="0.540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333375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2105025"/>
        <a:ext cx="2771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12</xdr:row>
      <xdr:rowOff>152400</xdr:rowOff>
    </xdr:from>
    <xdr:to>
      <xdr:col>9</xdr:col>
      <xdr:colOff>66675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2762250" y="2095500"/>
        <a:ext cx="27908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13</xdr:row>
      <xdr:rowOff>0</xdr:rowOff>
    </xdr:from>
    <xdr:to>
      <xdr:col>13</xdr:col>
      <xdr:colOff>342900</xdr:colOff>
      <xdr:row>30</xdr:row>
      <xdr:rowOff>28575</xdr:rowOff>
    </xdr:to>
    <xdr:graphicFrame>
      <xdr:nvGraphicFramePr>
        <xdr:cNvPr id="3" name="Chart 3"/>
        <xdr:cNvGraphicFramePr/>
      </xdr:nvGraphicFramePr>
      <xdr:xfrm>
        <a:off x="5486400" y="2105025"/>
        <a:ext cx="27813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4</xdr:col>
      <xdr:colOff>428625</xdr:colOff>
      <xdr:row>47</xdr:row>
      <xdr:rowOff>19050</xdr:rowOff>
    </xdr:to>
    <xdr:graphicFrame>
      <xdr:nvGraphicFramePr>
        <xdr:cNvPr id="4" name="Chart 4"/>
        <xdr:cNvGraphicFramePr/>
      </xdr:nvGraphicFramePr>
      <xdr:xfrm>
        <a:off x="9525" y="4867275"/>
        <a:ext cx="28575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419100</xdr:colOff>
      <xdr:row>30</xdr:row>
      <xdr:rowOff>28575</xdr:rowOff>
    </xdr:from>
    <xdr:to>
      <xdr:col>9</xdr:col>
      <xdr:colOff>247650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2857500" y="4886325"/>
        <a:ext cx="28765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10"/>
        <xdr:cNvGraphicFramePr/>
      </xdr:nvGraphicFramePr>
      <xdr:xfrm>
        <a:off x="9525" y="2266950"/>
        <a:ext cx="2895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9525</xdr:colOff>
      <xdr:row>33</xdr:row>
      <xdr:rowOff>0</xdr:rowOff>
    </xdr:to>
    <xdr:graphicFrame>
      <xdr:nvGraphicFramePr>
        <xdr:cNvPr id="2" name="Chart 11"/>
        <xdr:cNvGraphicFramePr/>
      </xdr:nvGraphicFramePr>
      <xdr:xfrm>
        <a:off x="2905125" y="2266950"/>
        <a:ext cx="29146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13</xdr:row>
      <xdr:rowOff>152400</xdr:rowOff>
    </xdr:from>
    <xdr:to>
      <xdr:col>15</xdr:col>
      <xdr:colOff>0</xdr:colOff>
      <xdr:row>33</xdr:row>
      <xdr:rowOff>0</xdr:rowOff>
    </xdr:to>
    <xdr:graphicFrame>
      <xdr:nvGraphicFramePr>
        <xdr:cNvPr id="3" name="Chart 12"/>
        <xdr:cNvGraphicFramePr/>
      </xdr:nvGraphicFramePr>
      <xdr:xfrm>
        <a:off x="5819775" y="2257425"/>
        <a:ext cx="28956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32</xdr:row>
      <xdr:rowOff>152400</xdr:rowOff>
    </xdr:from>
    <xdr:to>
      <xdr:col>10</xdr:col>
      <xdr:colOff>9525</xdr:colOff>
      <xdr:row>52</xdr:row>
      <xdr:rowOff>0</xdr:rowOff>
    </xdr:to>
    <xdr:graphicFrame>
      <xdr:nvGraphicFramePr>
        <xdr:cNvPr id="4" name="Chart 13"/>
        <xdr:cNvGraphicFramePr/>
      </xdr:nvGraphicFramePr>
      <xdr:xfrm>
        <a:off x="2914650" y="5334000"/>
        <a:ext cx="29051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5</xdr:col>
      <xdr:colOff>28575</xdr:colOff>
      <xdr:row>51</xdr:row>
      <xdr:rowOff>152400</xdr:rowOff>
    </xdr:to>
    <xdr:graphicFrame>
      <xdr:nvGraphicFramePr>
        <xdr:cNvPr id="5" name="Chart 14"/>
        <xdr:cNvGraphicFramePr/>
      </xdr:nvGraphicFramePr>
      <xdr:xfrm>
        <a:off x="0" y="5353050"/>
        <a:ext cx="29337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CC"/>
        </a:solidFill>
        <a:ln w="57150" cmpd="thickThin">
          <a:solidFill>
            <a:srgbClr val="800000"/>
          </a:solidFill>
          <a:headEnd type="none"/>
          <a:tailEnd type="none"/>
        </a:ln>
      </xdr:spPr>
      <xdr:txBody>
        <a:bodyPr vertOverflow="clip" wrap="square" lIns="108000" tIns="46800" rIns="108000" bIns="46800"/>
        <a:p>
          <a:pPr algn="l">
            <a:defRPr/>
          </a:pPr>
          <a:r>
            <a:rPr lang="en-US" cap="none" sz="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This is an example of a climatic database in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Table format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. Tables can be located anywhere on the sheet.
</a:t>
          </a:r>
          <a:r>
            <a:rPr lang="en-US" cap="none" sz="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Two met stations are given here: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one provides only long-term mean monthly data - so there are only 12 months of data;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the second gives actual annual observations for nominated years.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ula\promod\3pg\3PG_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\My%20Documents\Papers\3-PG_paper\Excel\3-PG_Mar2005\3PG_POR_FER_bloco2_C_4Nov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ning"/>
      <sheetName val="parametros"/>
      <sheetName val="DadosReais"/>
      <sheetName val="Year"/>
      <sheetName val="Month"/>
    </sheetNames>
    <sheetDataSet>
      <sheetData sheetId="1">
        <row r="41">
          <cell r="D41">
            <v>0.022</v>
          </cell>
        </row>
        <row r="42">
          <cell r="D42">
            <v>27.42</v>
          </cell>
        </row>
        <row r="43">
          <cell r="D43">
            <v>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ning"/>
      <sheetName val="parametros"/>
      <sheetName val="DadosReais"/>
      <sheetName val="Year"/>
      <sheetName val="Month"/>
    </sheetNames>
    <sheetDataSet>
      <sheetData sheetId="0">
        <row r="74">
          <cell r="A74">
            <v>17</v>
          </cell>
          <cell r="B74">
            <v>11611.351890081118</v>
          </cell>
          <cell r="D74">
            <v>1190.373165128144</v>
          </cell>
          <cell r="F74">
            <v>214.51759875567353</v>
          </cell>
          <cell r="H74">
            <v>18.684089459389675</v>
          </cell>
          <cell r="J74">
            <v>734.0554000000001</v>
          </cell>
          <cell r="L74">
            <v>33.145364586837786</v>
          </cell>
        </row>
      </sheetData>
      <sheetData sheetId="1">
        <row r="5">
          <cell r="D5">
            <v>0.6559043440199565</v>
          </cell>
        </row>
        <row r="6">
          <cell r="D6">
            <v>0.13442094917912265</v>
          </cell>
        </row>
        <row r="7">
          <cell r="D7">
            <v>-0.6883735494861627</v>
          </cell>
        </row>
        <row r="8">
          <cell r="D8">
            <v>1.0569674030424172</v>
          </cell>
        </row>
        <row r="9">
          <cell r="D9">
            <v>0.0572</v>
          </cell>
        </row>
        <row r="10">
          <cell r="D10">
            <v>2.689</v>
          </cell>
        </row>
        <row r="11">
          <cell r="D11">
            <v>0.3619702155534701</v>
          </cell>
        </row>
        <row r="12">
          <cell r="D12">
            <v>0.2508908861622519</v>
          </cell>
        </row>
        <row r="14">
          <cell r="D14">
            <v>5</v>
          </cell>
        </row>
        <row r="15">
          <cell r="D15">
            <v>16</v>
          </cell>
        </row>
        <row r="16">
          <cell r="D16">
            <v>40</v>
          </cell>
        </row>
        <row r="18">
          <cell r="D18">
            <v>1</v>
          </cell>
        </row>
        <row r="20">
          <cell r="D20">
            <v>0.7</v>
          </cell>
        </row>
        <row r="21">
          <cell r="D21">
            <v>9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1E-06</v>
          </cell>
        </row>
        <row r="27">
          <cell r="D27">
            <v>50</v>
          </cell>
        </row>
        <row r="28">
          <cell r="D28">
            <v>4</v>
          </cell>
        </row>
        <row r="29">
          <cell r="D29">
            <v>0.95</v>
          </cell>
        </row>
        <row r="31">
          <cell r="D31">
            <v>0.085</v>
          </cell>
        </row>
        <row r="32">
          <cell r="D32">
            <v>0.001</v>
          </cell>
        </row>
        <row r="33">
          <cell r="D33">
            <v>12</v>
          </cell>
        </row>
        <row r="34">
          <cell r="D34">
            <v>0.022</v>
          </cell>
        </row>
        <row r="35">
          <cell r="D35">
            <v>27.42</v>
          </cell>
        </row>
        <row r="36">
          <cell r="D36">
            <v>2.9</v>
          </cell>
        </row>
        <row r="37">
          <cell r="D37">
            <v>0.012671503258742188</v>
          </cell>
        </row>
        <row r="39">
          <cell r="D39">
            <v>0.02</v>
          </cell>
        </row>
        <row r="40">
          <cell r="D40">
            <v>3.33</v>
          </cell>
        </row>
        <row r="41">
          <cell r="D41">
            <v>0.08846313735805623</v>
          </cell>
        </row>
        <row r="42">
          <cell r="D42">
            <v>0.2</v>
          </cell>
        </row>
        <row r="44">
          <cell r="D44">
            <v>300</v>
          </cell>
        </row>
        <row r="45">
          <cell r="D45">
            <v>1.5</v>
          </cell>
        </row>
        <row r="46">
          <cell r="D46">
            <v>0</v>
          </cell>
        </row>
        <row r="47">
          <cell r="D47">
            <v>0.2</v>
          </cell>
        </row>
        <row r="48">
          <cell r="D48">
            <v>0.2</v>
          </cell>
        </row>
        <row r="50">
          <cell r="D50">
            <v>13.1</v>
          </cell>
        </row>
        <row r="51">
          <cell r="D51">
            <v>4.2</v>
          </cell>
        </row>
        <row r="52">
          <cell r="D52">
            <v>1.5</v>
          </cell>
        </row>
        <row r="53">
          <cell r="D53">
            <v>0.5</v>
          </cell>
        </row>
        <row r="54">
          <cell r="D54">
            <v>0</v>
          </cell>
        </row>
        <row r="55">
          <cell r="D55">
            <v>0.15</v>
          </cell>
        </row>
        <row r="56">
          <cell r="D56">
            <v>0</v>
          </cell>
        </row>
        <row r="57">
          <cell r="D57">
            <v>0.06763584304297766</v>
          </cell>
        </row>
        <row r="58">
          <cell r="D58">
            <v>0.47</v>
          </cell>
        </row>
        <row r="59">
          <cell r="D59">
            <v>2.2</v>
          </cell>
        </row>
        <row r="60">
          <cell r="D60">
            <v>1.2</v>
          </cell>
        </row>
        <row r="61">
          <cell r="D61">
            <v>2460000</v>
          </cell>
        </row>
        <row r="62">
          <cell r="D62">
            <v>0.000622</v>
          </cell>
        </row>
        <row r="64">
          <cell r="D64">
            <v>0.75</v>
          </cell>
        </row>
        <row r="65">
          <cell r="D65">
            <v>0.15</v>
          </cell>
        </row>
        <row r="66">
          <cell r="D66">
            <v>2</v>
          </cell>
        </row>
        <row r="68">
          <cell r="D68">
            <v>0.5</v>
          </cell>
        </row>
        <row r="69">
          <cell r="D69">
            <v>0.5815</v>
          </cell>
        </row>
        <row r="70">
          <cell r="D70">
            <v>4</v>
          </cell>
        </row>
        <row r="72">
          <cell r="D72">
            <v>-90</v>
          </cell>
        </row>
        <row r="73">
          <cell r="D73">
            <v>0.8</v>
          </cell>
        </row>
        <row r="74">
          <cell r="D74">
            <v>24</v>
          </cell>
        </row>
        <row r="75">
          <cell r="D75">
            <v>2.3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34">
      <selection activeCell="D47" sqref="D47"/>
    </sheetView>
  </sheetViews>
  <sheetFormatPr defaultColWidth="9.140625" defaultRowHeight="12.75"/>
  <cols>
    <col min="1" max="1" width="49.7109375" style="0" bestFit="1" customWidth="1"/>
    <col min="2" max="2" width="12.28125" style="0" bestFit="1" customWidth="1"/>
    <col min="3" max="3" width="12.8515625" style="0" customWidth="1"/>
    <col min="6" max="6" width="64.28125" style="0" customWidth="1"/>
  </cols>
  <sheetData>
    <row r="1" spans="2:11" s="9" customFormat="1" ht="6.75" customHeight="1">
      <c r="B1" s="10"/>
      <c r="C1" s="8"/>
      <c r="D1" s="8"/>
      <c r="E1" s="8"/>
      <c r="F1" s="8"/>
      <c r="G1" s="8"/>
      <c r="H1" s="8"/>
      <c r="I1" s="7"/>
      <c r="J1" s="7"/>
      <c r="K1" s="7"/>
    </row>
    <row r="2" spans="1:9" s="11" customFormat="1" ht="33" customHeight="1">
      <c r="A2" s="12" t="s">
        <v>128</v>
      </c>
      <c r="B2" s="13"/>
      <c r="C2" s="13"/>
      <c r="D2" s="14"/>
      <c r="E2" s="14"/>
      <c r="G2" s="15"/>
      <c r="H2" s="15"/>
      <c r="I2" s="15"/>
    </row>
    <row r="3" spans="1:5" ht="38.25">
      <c r="A3" s="1" t="s">
        <v>0</v>
      </c>
      <c r="B3" s="1" t="s">
        <v>1</v>
      </c>
      <c r="C3" s="1" t="s">
        <v>2</v>
      </c>
      <c r="D3" s="2" t="s">
        <v>306</v>
      </c>
      <c r="E3" s="2" t="s">
        <v>306</v>
      </c>
    </row>
    <row r="4" spans="1:5" ht="15.75">
      <c r="A4" s="3" t="s">
        <v>3</v>
      </c>
      <c r="B4" s="4"/>
      <c r="C4" s="4"/>
      <c r="D4" s="4"/>
      <c r="E4" s="4"/>
    </row>
    <row r="5" spans="1:5" ht="12.75">
      <c r="A5" s="5" t="s">
        <v>4</v>
      </c>
      <c r="B5" s="4" t="s">
        <v>5</v>
      </c>
      <c r="C5" s="4" t="s">
        <v>6</v>
      </c>
      <c r="D5" s="4">
        <f>Tuning!G7</f>
        <v>0.3</v>
      </c>
      <c r="E5" s="4">
        <v>0.3</v>
      </c>
    </row>
    <row r="6" spans="1:5" ht="12.75">
      <c r="A6" s="5" t="s">
        <v>7</v>
      </c>
      <c r="B6" s="4" t="s">
        <v>8</v>
      </c>
      <c r="C6" s="4" t="s">
        <v>6</v>
      </c>
      <c r="D6" s="4">
        <f>Tuning!G8</f>
        <v>0.09</v>
      </c>
      <c r="E6" s="4">
        <v>0.09</v>
      </c>
    </row>
    <row r="7" spans="1:6" s="25" customFormat="1" ht="12.75">
      <c r="A7" s="5"/>
      <c r="B7" s="4" t="s">
        <v>176</v>
      </c>
      <c r="C7" s="4"/>
      <c r="D7" s="142">
        <f>LN(pFS20/pFS2)/LN(20/2)</f>
        <v>-0.5228787452803376</v>
      </c>
      <c r="E7" s="142">
        <f>LN(pFS20/pFS2)/LN(20/2)</f>
        <v>-0.5228787452803376</v>
      </c>
      <c r="F7" s="172" t="s">
        <v>288</v>
      </c>
    </row>
    <row r="8" spans="1:6" s="25" customFormat="1" ht="12.75">
      <c r="A8" s="5"/>
      <c r="B8" s="4" t="s">
        <v>175</v>
      </c>
      <c r="C8" s="4"/>
      <c r="D8" s="142">
        <f>pFS2/2^pfsPower</f>
        <v>0.4310458231742096</v>
      </c>
      <c r="E8" s="142">
        <f>pFS2/2^pfsPower</f>
        <v>0.4310458231742096</v>
      </c>
      <c r="F8" s="172"/>
    </row>
    <row r="9" spans="1:5" ht="12.75">
      <c r="A9" s="5" t="s">
        <v>9</v>
      </c>
      <c r="B9" s="4" t="s">
        <v>10</v>
      </c>
      <c r="C9" s="4" t="s">
        <v>6</v>
      </c>
      <c r="D9" s="4">
        <v>0.0557</v>
      </c>
      <c r="E9" s="4">
        <v>0.0557</v>
      </c>
    </row>
    <row r="10" spans="1:5" ht="12.75">
      <c r="A10" s="5" t="s">
        <v>11</v>
      </c>
      <c r="B10" s="4" t="s">
        <v>12</v>
      </c>
      <c r="C10" s="4" t="s">
        <v>6</v>
      </c>
      <c r="D10" s="4">
        <v>2.7062</v>
      </c>
      <c r="E10" s="4">
        <v>2.7062</v>
      </c>
    </row>
    <row r="11" spans="1:5" ht="12.75">
      <c r="A11" s="5" t="s">
        <v>13</v>
      </c>
      <c r="B11" s="6" t="s">
        <v>14</v>
      </c>
      <c r="C11" s="4" t="s">
        <v>6</v>
      </c>
      <c r="D11" s="6">
        <v>0.5</v>
      </c>
      <c r="E11" s="6">
        <v>0.5</v>
      </c>
    </row>
    <row r="12" spans="1:5" ht="12.75">
      <c r="A12" s="5" t="s">
        <v>15</v>
      </c>
      <c r="B12" s="6" t="s">
        <v>16</v>
      </c>
      <c r="C12" s="4" t="s">
        <v>6</v>
      </c>
      <c r="D12" s="6">
        <v>0.15</v>
      </c>
      <c r="E12" s="6">
        <v>0.15</v>
      </c>
    </row>
    <row r="13" spans="1:5" ht="15.75">
      <c r="A13" s="3" t="s">
        <v>17</v>
      </c>
      <c r="B13" s="4"/>
      <c r="C13" s="4"/>
      <c r="D13" s="4"/>
      <c r="E13" s="4"/>
    </row>
    <row r="14" spans="1:5" ht="12.75">
      <c r="A14" s="5" t="s">
        <v>18</v>
      </c>
      <c r="B14" s="4" t="s">
        <v>19</v>
      </c>
      <c r="C14" s="4" t="s">
        <v>20</v>
      </c>
      <c r="D14" s="6">
        <v>6</v>
      </c>
      <c r="E14" s="6">
        <v>6</v>
      </c>
    </row>
    <row r="15" spans="1:5" ht="12.75">
      <c r="A15" s="5" t="s">
        <v>21</v>
      </c>
      <c r="B15" s="6" t="s">
        <v>22</v>
      </c>
      <c r="C15" s="4" t="s">
        <v>20</v>
      </c>
      <c r="D15" s="6">
        <v>16</v>
      </c>
      <c r="E15" s="6">
        <v>16</v>
      </c>
    </row>
    <row r="16" spans="1:5" ht="12.75">
      <c r="A16" s="5" t="s">
        <v>23</v>
      </c>
      <c r="B16" s="6" t="s">
        <v>24</v>
      </c>
      <c r="C16" s="4" t="s">
        <v>20</v>
      </c>
      <c r="D16" s="6">
        <v>40</v>
      </c>
      <c r="E16" s="6">
        <v>40</v>
      </c>
    </row>
    <row r="17" spans="1:5" ht="15.75">
      <c r="A17" s="3" t="s">
        <v>25</v>
      </c>
      <c r="B17" s="4"/>
      <c r="C17" s="4"/>
      <c r="D17" s="4"/>
      <c r="E17" s="4"/>
    </row>
    <row r="18" spans="1:5" ht="12.75">
      <c r="A18" s="5" t="s">
        <v>26</v>
      </c>
      <c r="B18" s="4" t="s">
        <v>27</v>
      </c>
      <c r="C18" s="4" t="s">
        <v>28</v>
      </c>
      <c r="D18" s="4">
        <v>1</v>
      </c>
      <c r="E18" s="4">
        <v>1</v>
      </c>
    </row>
    <row r="19" spans="1:5" ht="15.75">
      <c r="A19" s="3" t="s">
        <v>29</v>
      </c>
      <c r="B19" s="4"/>
      <c r="C19" s="4"/>
      <c r="D19" s="4"/>
      <c r="E19" s="4"/>
    </row>
    <row r="20" spans="1:5" ht="14.25">
      <c r="A20" s="5" t="s">
        <v>30</v>
      </c>
      <c r="B20" s="6" t="s">
        <v>219</v>
      </c>
      <c r="C20" s="4" t="s">
        <v>6</v>
      </c>
      <c r="D20" s="6">
        <v>0.7</v>
      </c>
      <c r="E20" s="6">
        <v>0.7</v>
      </c>
    </row>
    <row r="21" spans="1:5" ht="12.75">
      <c r="A21" s="5" t="s">
        <v>31</v>
      </c>
      <c r="B21" s="6" t="s">
        <v>220</v>
      </c>
      <c r="C21" s="4" t="s">
        <v>6</v>
      </c>
      <c r="D21" s="6">
        <v>9</v>
      </c>
      <c r="E21" s="6">
        <v>9</v>
      </c>
    </row>
    <row r="22" spans="1:5" ht="15.75">
      <c r="A22" s="3" t="s">
        <v>32</v>
      </c>
      <c r="B22" s="4"/>
      <c r="C22" s="4"/>
      <c r="D22" s="4"/>
      <c r="E22" s="4"/>
    </row>
    <row r="23" spans="1:5" ht="12.75">
      <c r="A23" s="5" t="s">
        <v>33</v>
      </c>
      <c r="B23" s="6" t="s">
        <v>34</v>
      </c>
      <c r="C23" s="4" t="s">
        <v>6</v>
      </c>
      <c r="D23" s="6">
        <v>0</v>
      </c>
      <c r="E23" s="6">
        <v>0</v>
      </c>
    </row>
    <row r="24" spans="1:5" ht="12.75">
      <c r="A24" s="5" t="s">
        <v>35</v>
      </c>
      <c r="B24" s="6" t="s">
        <v>36</v>
      </c>
      <c r="C24" s="4" t="s">
        <v>6</v>
      </c>
      <c r="D24" s="6">
        <v>1</v>
      </c>
      <c r="E24" s="6">
        <v>1</v>
      </c>
    </row>
    <row r="25" spans="1:5" ht="12.75">
      <c r="A25" s="5" t="s">
        <v>37</v>
      </c>
      <c r="B25" s="6" t="s">
        <v>38</v>
      </c>
      <c r="C25" s="4" t="s">
        <v>6</v>
      </c>
      <c r="D25" s="6">
        <v>0</v>
      </c>
      <c r="E25" s="6">
        <v>0</v>
      </c>
    </row>
    <row r="26" spans="1:5" ht="15.75">
      <c r="A26" s="3" t="s">
        <v>39</v>
      </c>
      <c r="B26" s="4"/>
      <c r="C26" s="4"/>
      <c r="D26" s="4"/>
      <c r="E26" s="4"/>
    </row>
    <row r="27" spans="1:5" ht="12.75">
      <c r="A27" s="5" t="s">
        <v>40</v>
      </c>
      <c r="B27" s="4" t="s">
        <v>41</v>
      </c>
      <c r="C27" s="4" t="s">
        <v>42</v>
      </c>
      <c r="D27" s="4">
        <v>50</v>
      </c>
      <c r="E27" s="4">
        <v>50</v>
      </c>
    </row>
    <row r="28" spans="1:5" ht="12.75">
      <c r="A28" s="5" t="s">
        <v>43</v>
      </c>
      <c r="B28" s="4" t="s">
        <v>44</v>
      </c>
      <c r="C28" s="4" t="s">
        <v>6</v>
      </c>
      <c r="D28" s="4">
        <v>4</v>
      </c>
      <c r="E28" s="4">
        <v>4</v>
      </c>
    </row>
    <row r="29" spans="1:5" ht="12.75">
      <c r="A29" s="5" t="s">
        <v>45</v>
      </c>
      <c r="B29" s="4" t="s">
        <v>46</v>
      </c>
      <c r="C29" s="4" t="s">
        <v>6</v>
      </c>
      <c r="D29" s="4">
        <v>0.95</v>
      </c>
      <c r="E29" s="4">
        <v>0.95</v>
      </c>
    </row>
    <row r="30" spans="1:5" ht="15.75">
      <c r="A30" s="3" t="s">
        <v>47</v>
      </c>
      <c r="B30" s="4"/>
      <c r="C30" s="4"/>
      <c r="D30" s="4"/>
      <c r="E30" s="4"/>
    </row>
    <row r="31" spans="1:5" ht="12.75">
      <c r="A31" s="5" t="s">
        <v>48</v>
      </c>
      <c r="B31" s="6" t="s">
        <v>49</v>
      </c>
      <c r="C31" s="4" t="s">
        <v>50</v>
      </c>
      <c r="D31" s="6">
        <v>0.013</v>
      </c>
      <c r="E31" s="6">
        <v>0.013</v>
      </c>
    </row>
    <row r="32" spans="1:5" ht="12.75">
      <c r="A32" s="5" t="s">
        <v>51</v>
      </c>
      <c r="B32" s="6" t="s">
        <v>52</v>
      </c>
      <c r="C32" s="4" t="s">
        <v>50</v>
      </c>
      <c r="D32" s="6">
        <v>0.001</v>
      </c>
      <c r="E32" s="6">
        <v>0.001</v>
      </c>
    </row>
    <row r="33" spans="1:5" ht="12.75">
      <c r="A33" s="5" t="s">
        <v>53</v>
      </c>
      <c r="B33" s="6" t="s">
        <v>54</v>
      </c>
      <c r="C33" s="4" t="s">
        <v>55</v>
      </c>
      <c r="D33" s="6">
        <v>6</v>
      </c>
      <c r="E33" s="6">
        <v>6</v>
      </c>
    </row>
    <row r="34" spans="1:5" ht="12.75">
      <c r="A34" s="5" t="s">
        <v>56</v>
      </c>
      <c r="B34" s="6" t="s">
        <v>57</v>
      </c>
      <c r="C34" s="4" t="s">
        <v>50</v>
      </c>
      <c r="D34" s="6">
        <v>0.01</v>
      </c>
      <c r="E34" s="6">
        <v>0.01</v>
      </c>
    </row>
    <row r="35" spans="1:5" ht="15.75">
      <c r="A35" s="3" t="s">
        <v>58</v>
      </c>
      <c r="B35" s="4"/>
      <c r="C35" s="4"/>
      <c r="D35" s="4"/>
      <c r="E35" s="4"/>
    </row>
    <row r="36" spans="1:5" ht="12.75">
      <c r="A36" s="5" t="s">
        <v>59</v>
      </c>
      <c r="B36" s="6" t="s">
        <v>60</v>
      </c>
      <c r="C36" s="4" t="s">
        <v>61</v>
      </c>
      <c r="D36" s="6">
        <v>0.02</v>
      </c>
      <c r="E36" s="6">
        <v>0.02</v>
      </c>
    </row>
    <row r="37" spans="1:5" ht="12.75">
      <c r="A37" s="5" t="s">
        <v>62</v>
      </c>
      <c r="B37" s="4" t="s">
        <v>63</v>
      </c>
      <c r="C37" s="4" t="s">
        <v>6</v>
      </c>
      <c r="D37" s="6">
        <v>3.33</v>
      </c>
      <c r="E37" s="6">
        <v>3.33</v>
      </c>
    </row>
    <row r="38" spans="1:5" ht="12.75">
      <c r="A38" s="5" t="s">
        <v>64</v>
      </c>
      <c r="B38" s="6" t="s">
        <v>65</v>
      </c>
      <c r="C38" s="4" t="s">
        <v>66</v>
      </c>
      <c r="D38" s="6">
        <f>Tuning!G5</f>
        <v>0.05</v>
      </c>
      <c r="E38" s="6">
        <v>0.05</v>
      </c>
    </row>
    <row r="39" spans="1:5" ht="12.75">
      <c r="A39" s="5" t="s">
        <v>217</v>
      </c>
      <c r="B39" s="6" t="s">
        <v>67</v>
      </c>
      <c r="C39" s="4" t="s">
        <v>61</v>
      </c>
      <c r="D39" s="6">
        <v>0.2</v>
      </c>
      <c r="E39" s="6">
        <v>0.2</v>
      </c>
    </row>
    <row r="40" spans="1:5" ht="15.75">
      <c r="A40" s="3" t="s">
        <v>68</v>
      </c>
      <c r="B40" s="4"/>
      <c r="C40" s="4"/>
      <c r="D40" s="4"/>
      <c r="E40" s="4"/>
    </row>
    <row r="41" spans="1:5" ht="12.75">
      <c r="A41" s="5" t="s">
        <v>69</v>
      </c>
      <c r="B41" s="6" t="s">
        <v>70</v>
      </c>
      <c r="C41" s="4" t="s">
        <v>71</v>
      </c>
      <c r="D41" s="6">
        <v>300</v>
      </c>
      <c r="E41" s="6">
        <v>300</v>
      </c>
    </row>
    <row r="42" spans="1:5" ht="12.75">
      <c r="A42" s="5" t="s">
        <v>72</v>
      </c>
      <c r="B42" s="6" t="s">
        <v>73</v>
      </c>
      <c r="C42" s="4" t="s">
        <v>6</v>
      </c>
      <c r="D42" s="6">
        <v>1.5</v>
      </c>
      <c r="E42" s="6">
        <v>1.5</v>
      </c>
    </row>
    <row r="43" spans="1:5" ht="12.75">
      <c r="A43" s="5" t="s">
        <v>74</v>
      </c>
      <c r="B43" s="6" t="s">
        <v>75</v>
      </c>
      <c r="C43" s="4" t="s">
        <v>6</v>
      </c>
      <c r="D43" s="6">
        <v>0</v>
      </c>
      <c r="E43" s="6">
        <v>0</v>
      </c>
    </row>
    <row r="44" spans="1:5" ht="12.75">
      <c r="A44" s="5" t="s">
        <v>76</v>
      </c>
      <c r="B44" s="6" t="s">
        <v>77</v>
      </c>
      <c r="C44" s="4" t="s">
        <v>6</v>
      </c>
      <c r="D44" s="6">
        <v>0.2</v>
      </c>
      <c r="E44" s="6">
        <v>0.2</v>
      </c>
    </row>
    <row r="45" spans="1:5" ht="12.75">
      <c r="A45" s="5" t="s">
        <v>78</v>
      </c>
      <c r="B45" s="6" t="s">
        <v>79</v>
      </c>
      <c r="C45" s="4" t="s">
        <v>6</v>
      </c>
      <c r="D45" s="6">
        <v>0.2</v>
      </c>
      <c r="E45" s="6">
        <v>0.2</v>
      </c>
    </row>
    <row r="46" spans="1:5" ht="15.75">
      <c r="A46" s="3" t="s">
        <v>80</v>
      </c>
      <c r="B46" s="4"/>
      <c r="C46" s="4"/>
      <c r="D46" s="4"/>
      <c r="E46" s="4"/>
    </row>
    <row r="47" spans="1:5" ht="14.25">
      <c r="A47" s="5" t="s">
        <v>81</v>
      </c>
      <c r="B47" s="6" t="s">
        <v>82</v>
      </c>
      <c r="C47" s="4" t="s">
        <v>83</v>
      </c>
      <c r="D47" s="6">
        <v>11</v>
      </c>
      <c r="E47" s="6">
        <v>13.1</v>
      </c>
    </row>
    <row r="48" spans="1:5" ht="14.25">
      <c r="A48" s="5" t="s">
        <v>84</v>
      </c>
      <c r="B48" s="6" t="s">
        <v>85</v>
      </c>
      <c r="C48" s="4" t="s">
        <v>83</v>
      </c>
      <c r="D48" s="6">
        <v>4</v>
      </c>
      <c r="E48" s="6">
        <v>4.2</v>
      </c>
    </row>
    <row r="49" spans="1:5" ht="12.75">
      <c r="A49" s="5" t="s">
        <v>86</v>
      </c>
      <c r="B49" s="6" t="s">
        <v>87</v>
      </c>
      <c r="C49" s="4" t="s">
        <v>42</v>
      </c>
      <c r="D49" s="6">
        <v>2.5</v>
      </c>
      <c r="E49" s="6">
        <v>1.5</v>
      </c>
    </row>
    <row r="50" spans="1:5" ht="12.75">
      <c r="A50" s="5" t="s">
        <v>88</v>
      </c>
      <c r="B50" s="6" t="s">
        <v>89</v>
      </c>
      <c r="C50" s="4" t="s">
        <v>6</v>
      </c>
      <c r="D50" s="6">
        <v>0.5</v>
      </c>
      <c r="E50" s="6">
        <v>0.5</v>
      </c>
    </row>
    <row r="51" spans="1:5" ht="12.75">
      <c r="A51" s="5" t="s">
        <v>90</v>
      </c>
      <c r="B51" s="6" t="s">
        <v>91</v>
      </c>
      <c r="C51" s="4" t="s">
        <v>42</v>
      </c>
      <c r="D51" s="6">
        <v>3</v>
      </c>
      <c r="E51" s="6">
        <v>0</v>
      </c>
    </row>
    <row r="52" spans="1:5" ht="12.75">
      <c r="A52" s="5" t="s">
        <v>92</v>
      </c>
      <c r="B52" s="6" t="s">
        <v>93</v>
      </c>
      <c r="C52" s="4" t="s">
        <v>6</v>
      </c>
      <c r="D52" s="6">
        <v>0.15</v>
      </c>
      <c r="E52" s="6">
        <v>0.15</v>
      </c>
    </row>
    <row r="53" spans="1:5" ht="12.75">
      <c r="A53" s="5" t="s">
        <v>94</v>
      </c>
      <c r="B53" s="6" t="s">
        <v>95</v>
      </c>
      <c r="C53" s="4" t="s">
        <v>6</v>
      </c>
      <c r="D53" s="6">
        <v>0</v>
      </c>
      <c r="E53" s="6">
        <v>0</v>
      </c>
    </row>
    <row r="54" spans="1:5" ht="12.75">
      <c r="A54" s="5" t="s">
        <v>96</v>
      </c>
      <c r="B54" s="6" t="s">
        <v>97</v>
      </c>
      <c r="C54" s="4" t="s">
        <v>98</v>
      </c>
      <c r="D54" s="6">
        <v>0.055</v>
      </c>
      <c r="E54" s="6">
        <v>0.055</v>
      </c>
    </row>
    <row r="55" spans="1:5" ht="12" customHeight="1">
      <c r="A55" s="5" t="s">
        <v>99</v>
      </c>
      <c r="B55" s="6" t="s">
        <v>100</v>
      </c>
      <c r="C55" s="4" t="s">
        <v>6</v>
      </c>
      <c r="D55" s="6">
        <v>0.47</v>
      </c>
      <c r="E55" s="6">
        <v>0.47</v>
      </c>
    </row>
    <row r="56" spans="1:5" ht="12" customHeight="1">
      <c r="A56" s="5"/>
      <c r="B56" s="6" t="s">
        <v>293</v>
      </c>
      <c r="C56" s="4"/>
      <c r="D56" s="6">
        <v>0</v>
      </c>
      <c r="E56" s="6">
        <v>0</v>
      </c>
    </row>
    <row r="57" spans="1:5" s="119" customFormat="1" ht="12.75">
      <c r="A57" s="117"/>
      <c r="B57" s="120" t="s">
        <v>187</v>
      </c>
      <c r="C57" s="118"/>
      <c r="D57" s="120">
        <v>2.2</v>
      </c>
      <c r="E57" s="120">
        <v>2.2</v>
      </c>
    </row>
    <row r="58" spans="1:5" s="119" customFormat="1" ht="12.75">
      <c r="A58" s="117"/>
      <c r="B58" s="120" t="s">
        <v>188</v>
      </c>
      <c r="C58" s="118"/>
      <c r="D58" s="120">
        <v>1.2</v>
      </c>
      <c r="E58" s="120">
        <v>1.2</v>
      </c>
    </row>
    <row r="59" spans="1:5" s="119" customFormat="1" ht="12.75">
      <c r="A59" s="117"/>
      <c r="B59" s="120" t="s">
        <v>189</v>
      </c>
      <c r="C59" s="118"/>
      <c r="D59" s="120">
        <v>2460000</v>
      </c>
      <c r="E59" s="120">
        <v>2460000</v>
      </c>
    </row>
    <row r="60" spans="1:5" s="119" customFormat="1" ht="12.75">
      <c r="A60" s="117"/>
      <c r="B60" s="120" t="s">
        <v>190</v>
      </c>
      <c r="C60" s="118"/>
      <c r="D60" s="120">
        <v>0.000622</v>
      </c>
      <c r="E60" s="120">
        <v>0.000622</v>
      </c>
    </row>
    <row r="61" spans="1:5" ht="15.75">
      <c r="A61" s="3" t="s">
        <v>101</v>
      </c>
      <c r="B61" s="4"/>
      <c r="C61" s="4"/>
      <c r="D61" s="4"/>
      <c r="E61" s="4"/>
    </row>
    <row r="62" spans="1:5" ht="12.75">
      <c r="A62" s="5" t="s">
        <v>102</v>
      </c>
      <c r="B62" s="6" t="s">
        <v>103</v>
      </c>
      <c r="C62" s="4" t="s">
        <v>6</v>
      </c>
      <c r="D62" s="6">
        <v>0.75</v>
      </c>
      <c r="E62" s="6">
        <v>0.75</v>
      </c>
    </row>
    <row r="63" spans="1:5" ht="12.75">
      <c r="A63" s="5" t="s">
        <v>104</v>
      </c>
      <c r="B63" s="6" t="s">
        <v>105</v>
      </c>
      <c r="C63" s="4" t="s">
        <v>6</v>
      </c>
      <c r="D63" s="6">
        <v>0.15</v>
      </c>
      <c r="E63" s="6">
        <v>0.15</v>
      </c>
    </row>
    <row r="64" spans="1:5" ht="12.75">
      <c r="A64" s="5" t="s">
        <v>106</v>
      </c>
      <c r="B64" s="6" t="s">
        <v>107</v>
      </c>
      <c r="C64" s="4" t="s">
        <v>42</v>
      </c>
      <c r="D64" s="6">
        <v>2</v>
      </c>
      <c r="E64" s="6">
        <v>2</v>
      </c>
    </row>
    <row r="65" spans="1:5" ht="15.75">
      <c r="A65" s="3" t="s">
        <v>108</v>
      </c>
      <c r="B65" s="4"/>
      <c r="C65" s="4"/>
      <c r="D65" s="4"/>
      <c r="E65" s="4"/>
    </row>
    <row r="66" spans="1:6" ht="12.75">
      <c r="A66" s="5" t="s">
        <v>109</v>
      </c>
      <c r="B66" s="6" t="s">
        <v>110</v>
      </c>
      <c r="C66" s="4" t="s">
        <v>111</v>
      </c>
      <c r="D66" s="121">
        <v>0.45</v>
      </c>
      <c r="E66" s="121">
        <v>0.45</v>
      </c>
      <c r="F66" s="116"/>
    </row>
    <row r="67" spans="1:6" ht="12.75">
      <c r="A67" s="5" t="s">
        <v>112</v>
      </c>
      <c r="B67" s="6" t="s">
        <v>113</v>
      </c>
      <c r="C67" s="4" t="s">
        <v>111</v>
      </c>
      <c r="D67" s="121">
        <v>0.45</v>
      </c>
      <c r="E67" s="121">
        <v>0.45</v>
      </c>
      <c r="F67" s="116"/>
    </row>
    <row r="68" spans="1:5" ht="12.75">
      <c r="A68" s="5" t="s">
        <v>114</v>
      </c>
      <c r="B68" s="6" t="s">
        <v>115</v>
      </c>
      <c r="C68" s="4" t="s">
        <v>42</v>
      </c>
      <c r="D68" s="6">
        <v>4</v>
      </c>
      <c r="E68" s="6">
        <v>4</v>
      </c>
    </row>
    <row r="69" spans="1:5" ht="15.75">
      <c r="A69" s="3" t="s">
        <v>116</v>
      </c>
      <c r="B69" s="4"/>
      <c r="C69" s="4"/>
      <c r="D69" s="4"/>
      <c r="E69" s="4"/>
    </row>
    <row r="70" spans="1:5" ht="12.75">
      <c r="A70" s="5" t="s">
        <v>117</v>
      </c>
      <c r="B70" s="6" t="s">
        <v>118</v>
      </c>
      <c r="C70" s="4" t="s">
        <v>119</v>
      </c>
      <c r="D70" s="6">
        <v>-90</v>
      </c>
      <c r="E70" s="6">
        <v>-90</v>
      </c>
    </row>
    <row r="71" spans="1:5" ht="12.75">
      <c r="A71" s="5" t="s">
        <v>120</v>
      </c>
      <c r="B71" s="6" t="s">
        <v>121</v>
      </c>
      <c r="C71" s="4" t="s">
        <v>6</v>
      </c>
      <c r="D71" s="6">
        <v>0.8</v>
      </c>
      <c r="E71" s="6">
        <v>0.8</v>
      </c>
    </row>
    <row r="72" spans="1:5" ht="12.75">
      <c r="A72" s="5" t="s">
        <v>122</v>
      </c>
      <c r="B72" s="6" t="s">
        <v>123</v>
      </c>
      <c r="C72" s="4" t="s">
        <v>124</v>
      </c>
      <c r="D72" s="6">
        <v>24</v>
      </c>
      <c r="E72" s="6">
        <v>24</v>
      </c>
    </row>
    <row r="73" spans="1:5" ht="12.75">
      <c r="A73" s="5" t="s">
        <v>125</v>
      </c>
      <c r="B73" s="6" t="s">
        <v>126</v>
      </c>
      <c r="C73" s="4" t="s">
        <v>127</v>
      </c>
      <c r="D73" s="6">
        <v>2.3</v>
      </c>
      <c r="E73" s="6">
        <v>2.3</v>
      </c>
    </row>
    <row r="74" spans="1:5" ht="12.75">
      <c r="A74" s="5"/>
      <c r="B74" s="4"/>
      <c r="C74" s="4"/>
      <c r="D74" s="4"/>
      <c r="E74" s="4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M10" sqref="M10"/>
    </sheetView>
  </sheetViews>
  <sheetFormatPr defaultColWidth="9.140625" defaultRowHeight="12.75"/>
  <cols>
    <col min="15" max="15" width="8.8515625" style="89" customWidth="1"/>
  </cols>
  <sheetData>
    <row r="2" spans="1:13" ht="12.75">
      <c r="A2" s="155" t="s">
        <v>299</v>
      </c>
      <c r="B2" s="156"/>
      <c r="C2" s="156"/>
      <c r="D2" s="156"/>
      <c r="E2" s="156"/>
      <c r="F2" s="156"/>
      <c r="G2" s="156"/>
      <c r="H2" s="156"/>
      <c r="I2" s="156"/>
      <c r="K2" s="133"/>
      <c r="L2" s="157" t="s">
        <v>300</v>
      </c>
      <c r="M2" s="133"/>
    </row>
    <row r="3" spans="1:13" ht="12.75">
      <c r="A3" s="156"/>
      <c r="B3" s="156"/>
      <c r="C3" s="156"/>
      <c r="D3" s="156"/>
      <c r="E3" s="156"/>
      <c r="F3" s="156"/>
      <c r="G3" s="156"/>
      <c r="H3" s="156"/>
      <c r="I3" s="156"/>
      <c r="K3" s="133"/>
      <c r="L3" s="133"/>
      <c r="M3" s="133"/>
    </row>
    <row r="4" spans="1:13" ht="12.75">
      <c r="A4" s="155" t="s">
        <v>0</v>
      </c>
      <c r="B4" s="156"/>
      <c r="C4" s="156"/>
      <c r="D4" s="156"/>
      <c r="E4" s="155" t="s">
        <v>1</v>
      </c>
      <c r="F4" s="155" t="s">
        <v>2</v>
      </c>
      <c r="G4" s="155" t="s">
        <v>308</v>
      </c>
      <c r="H4" s="166" t="s">
        <v>307</v>
      </c>
      <c r="I4" s="156"/>
      <c r="K4" s="158" t="s">
        <v>301</v>
      </c>
      <c r="L4" s="133">
        <f>(SSQ_resWa/SSQ_Wa)</f>
        <v>0.0004942136003553497</v>
      </c>
      <c r="M4" s="133"/>
    </row>
    <row r="5" spans="1:13" ht="12.75">
      <c r="A5" s="159" t="s">
        <v>64</v>
      </c>
      <c r="B5" s="156"/>
      <c r="C5" s="156"/>
      <c r="D5" s="156"/>
      <c r="E5" s="160" t="s">
        <v>65</v>
      </c>
      <c r="F5" s="161" t="s">
        <v>66</v>
      </c>
      <c r="G5" s="160">
        <v>0.05</v>
      </c>
      <c r="H5" s="160">
        <v>0.05</v>
      </c>
      <c r="I5" s="156"/>
      <c r="K5" s="158" t="s">
        <v>302</v>
      </c>
      <c r="L5" s="133">
        <f>(SSQ_resWl/SSQ_Wl)</f>
        <v>0.0023244682567976384</v>
      </c>
      <c r="M5" s="133"/>
    </row>
    <row r="6" spans="1:13" ht="12.75">
      <c r="A6" s="159" t="s">
        <v>96</v>
      </c>
      <c r="B6" s="156"/>
      <c r="C6" s="156"/>
      <c r="D6" s="156"/>
      <c r="E6" s="160" t="s">
        <v>97</v>
      </c>
      <c r="F6" s="161" t="s">
        <v>98</v>
      </c>
      <c r="G6" s="160">
        <v>0.052</v>
      </c>
      <c r="H6" s="160">
        <v>0.052</v>
      </c>
      <c r="I6" s="156"/>
      <c r="K6" s="158" t="s">
        <v>303</v>
      </c>
      <c r="L6" s="133">
        <f>(SSQ_resWr/SSQ_Wr)</f>
        <v>0.016118443462788106</v>
      </c>
      <c r="M6" s="162"/>
    </row>
    <row r="7" spans="1:13" ht="12.75">
      <c r="A7" s="156" t="s">
        <v>304</v>
      </c>
      <c r="B7" s="163"/>
      <c r="C7" s="163"/>
      <c r="D7" s="163"/>
      <c r="E7" s="156" t="s">
        <v>5</v>
      </c>
      <c r="F7" s="156" t="s">
        <v>6</v>
      </c>
      <c r="G7" s="164">
        <v>0.3</v>
      </c>
      <c r="H7" s="164">
        <v>0.3</v>
      </c>
      <c r="I7" s="156"/>
      <c r="K7" s="162"/>
      <c r="L7" s="162"/>
      <c r="M7" s="162"/>
    </row>
    <row r="8" spans="1:13" ht="12.75">
      <c r="A8" s="156" t="s">
        <v>305</v>
      </c>
      <c r="B8" s="163"/>
      <c r="C8" s="163"/>
      <c r="D8" s="163"/>
      <c r="E8" s="156" t="s">
        <v>8</v>
      </c>
      <c r="F8" s="156" t="s">
        <v>6</v>
      </c>
      <c r="G8" s="164">
        <v>0.09</v>
      </c>
      <c r="H8" s="164">
        <v>0.09</v>
      </c>
      <c r="I8" s="156"/>
      <c r="K8" s="162"/>
      <c r="L8" s="165">
        <f>L4+L5</f>
        <v>0.0028186818571529883</v>
      </c>
      <c r="M8" s="162"/>
    </row>
    <row r="9" spans="1:9" ht="12.75">
      <c r="A9" s="156"/>
      <c r="B9" s="156"/>
      <c r="C9" s="156"/>
      <c r="D9" s="156"/>
      <c r="E9" s="156"/>
      <c r="F9" s="156"/>
      <c r="G9" s="156"/>
      <c r="H9" s="156"/>
      <c r="I9" s="156"/>
    </row>
    <row r="10" spans="1:9" ht="12.75">
      <c r="A10" s="156"/>
      <c r="B10" s="156"/>
      <c r="C10" s="156"/>
      <c r="D10" s="156"/>
      <c r="E10" s="156"/>
      <c r="F10" s="156"/>
      <c r="G10" s="156"/>
      <c r="H10" s="156"/>
      <c r="I10" s="156"/>
    </row>
    <row r="50" spans="1:12" ht="12.75">
      <c r="A50" s="154"/>
      <c r="B50">
        <f>SUMSQ(B54:B86)</f>
        <v>299131.6911980884</v>
      </c>
      <c r="D50" s="93">
        <f>SUMSQ(D54:D86)</f>
        <v>147.83495008739195</v>
      </c>
      <c r="G50">
        <f>SUMSQ(G54:G86)</f>
        <v>730.2555268674772</v>
      </c>
      <c r="H50" s="93">
        <f>SUMSQ(H54:H86)</f>
        <v>1.6974557915544857</v>
      </c>
      <c r="K50">
        <f>SUMSQ(K54:K86)</f>
        <v>11536.94829506459</v>
      </c>
      <c r="L50" s="93">
        <f>SUMSQ(L54:L86)</f>
        <v>185.95764882710824</v>
      </c>
    </row>
    <row r="53" spans="1:12" ht="25.5">
      <c r="A53" s="90" t="s">
        <v>257</v>
      </c>
      <c r="B53" s="90" t="s">
        <v>258</v>
      </c>
      <c r="C53" s="90" t="s">
        <v>259</v>
      </c>
      <c r="D53" s="90" t="s">
        <v>260</v>
      </c>
      <c r="E53" s="90"/>
      <c r="F53" s="90" t="s">
        <v>261</v>
      </c>
      <c r="G53" s="90" t="s">
        <v>262</v>
      </c>
      <c r="H53" s="90" t="s">
        <v>260</v>
      </c>
      <c r="I53" s="91"/>
      <c r="J53" s="90" t="s">
        <v>263</v>
      </c>
      <c r="K53" s="90" t="s">
        <v>264</v>
      </c>
      <c r="L53" s="90" t="s">
        <v>260</v>
      </c>
    </row>
    <row r="54" spans="1:12" ht="12.75">
      <c r="A54" s="92">
        <f>'DadosReais&amp;Graficos'!B59</f>
        <v>6</v>
      </c>
      <c r="B54" s="93">
        <f>'DadosReais&amp;Graficos'!G59</f>
        <v>50.02285120753074</v>
      </c>
      <c r="C54" s="93">
        <f>Year!H5</f>
        <v>51.5</v>
      </c>
      <c r="D54" s="93">
        <f aca="true" t="shared" si="0" ref="D54:D65">C54-B54</f>
        <v>1.477148792469258</v>
      </c>
      <c r="E54" s="93"/>
      <c r="F54" s="93">
        <f>'DadosReais&amp;Graficos'!D59</f>
        <v>5.578</v>
      </c>
      <c r="G54" s="93">
        <f>Year!E5</f>
        <v>5.58</v>
      </c>
      <c r="H54" s="93">
        <f aca="true" t="shared" si="1" ref="H54:H65">G54-F54</f>
        <v>0.0019999999999997797</v>
      </c>
      <c r="I54" s="91"/>
      <c r="J54" s="93">
        <f>'DadosReais&amp;Graficos'!E59</f>
        <v>12.81</v>
      </c>
      <c r="K54" s="93">
        <f>Year!F5</f>
        <v>12.81</v>
      </c>
      <c r="L54" s="93">
        <f aca="true" t="shared" si="2" ref="L54:L65">K54-J54</f>
        <v>0</v>
      </c>
    </row>
    <row r="55" spans="1:12" ht="12.75">
      <c r="A55" s="92">
        <f>'DadosReais&amp;Graficos'!B60</f>
        <v>7.8</v>
      </c>
      <c r="B55" s="93">
        <f>'DadosReais&amp;Graficos'!G60</f>
        <v>78.13462072984947</v>
      </c>
      <c r="C55" s="93">
        <f>Year!H6</f>
        <v>77.98316991301058</v>
      </c>
      <c r="D55" s="93">
        <f t="shared" si="0"/>
        <v>-0.1514508168388886</v>
      </c>
      <c r="E55" s="93"/>
      <c r="F55" s="93">
        <f>'DadosReais&amp;Graficos'!D60</f>
        <v>6.713</v>
      </c>
      <c r="G55" s="93">
        <f>Year!E6</f>
        <v>6.7206258986402165</v>
      </c>
      <c r="H55" s="93">
        <f t="shared" si="1"/>
        <v>0.007625898640216455</v>
      </c>
      <c r="I55" s="91"/>
      <c r="J55" s="93">
        <f>'DadosReais&amp;Graficos'!E60</f>
        <v>19.36</v>
      </c>
      <c r="K55" s="93">
        <f>Year!F6</f>
        <v>19.837998472047104</v>
      </c>
      <c r="L55" s="93">
        <f t="shared" si="2"/>
        <v>0.4779984720471049</v>
      </c>
    </row>
    <row r="56" spans="1:12" ht="12.75">
      <c r="A56" s="92">
        <f>'DadosReais&amp;Graficos'!B61</f>
        <v>9</v>
      </c>
      <c r="B56" s="93">
        <f>'DadosReais&amp;Graficos'!G61</f>
        <v>92.82294963125844</v>
      </c>
      <c r="C56" s="93">
        <f>Year!H7</f>
        <v>94.81983375342365</v>
      </c>
      <c r="D56" s="93">
        <f t="shared" si="0"/>
        <v>1.9968841221652127</v>
      </c>
      <c r="E56" s="93"/>
      <c r="F56" s="93">
        <f>'DadosReais&amp;Graficos'!D61</f>
        <v>7.142</v>
      </c>
      <c r="G56" s="93">
        <f>Year!E7</f>
        <v>7.124990766957302</v>
      </c>
      <c r="H56" s="93">
        <f t="shared" si="1"/>
        <v>-0.017009233042698746</v>
      </c>
      <c r="I56" s="91"/>
      <c r="J56" s="93">
        <f>'DadosReais&amp;Graficos'!E61</f>
        <v>22.56</v>
      </c>
      <c r="K56" s="93">
        <f>Year!F7</f>
        <v>22.82868993804088</v>
      </c>
      <c r="L56" s="93">
        <f t="shared" si="2"/>
        <v>0.2686899380408825</v>
      </c>
    </row>
    <row r="57" spans="1:12" ht="12.75">
      <c r="A57" s="92">
        <f>'DadosReais&amp;Graficos'!B62</f>
        <v>9.9</v>
      </c>
      <c r="B57" s="93">
        <f>'DadosReais&amp;Graficos'!G62</f>
        <v>107.84463020754544</v>
      </c>
      <c r="C57" s="93">
        <f>Year!H8</f>
        <v>108.49321705568086</v>
      </c>
      <c r="D57" s="93">
        <f t="shared" si="0"/>
        <v>0.6485868481354231</v>
      </c>
      <c r="E57" s="93"/>
      <c r="F57" s="93">
        <f>'DadosReais&amp;Graficos'!D62</f>
        <v>7.497</v>
      </c>
      <c r="G57" s="93">
        <f>Year!E8</f>
        <v>7.523964005026846</v>
      </c>
      <c r="H57" s="93">
        <f t="shared" si="1"/>
        <v>0.02696400502684604</v>
      </c>
      <c r="I57" s="91"/>
      <c r="J57" s="93">
        <f>'DadosReais&amp;Graficos'!E62</f>
        <v>25.69</v>
      </c>
      <c r="K57" s="93">
        <f>Year!F8</f>
        <v>25.61472677701555</v>
      </c>
      <c r="L57" s="93">
        <f t="shared" si="2"/>
        <v>-0.07527322298444972</v>
      </c>
    </row>
    <row r="58" spans="1:12" ht="12.75">
      <c r="A58" s="92">
        <f>'DadosReais&amp;Graficos'!B63</f>
        <v>10.8</v>
      </c>
      <c r="B58" s="93">
        <f>'DadosReais&amp;Graficos'!G63</f>
        <v>124.84043253688128</v>
      </c>
      <c r="C58" s="93">
        <f>Year!H9</f>
        <v>124.59680324770638</v>
      </c>
      <c r="D58" s="93">
        <f t="shared" si="0"/>
        <v>-0.24362928917490478</v>
      </c>
      <c r="E58" s="93"/>
      <c r="F58" s="93">
        <f>'DadosReais&amp;Graficos'!D63</f>
        <v>7.789</v>
      </c>
      <c r="G58" s="93">
        <f>Year!E9</f>
        <v>7.972544019273323</v>
      </c>
      <c r="H58" s="93">
        <f t="shared" si="1"/>
        <v>0.18354401927332287</v>
      </c>
      <c r="I58" s="91"/>
      <c r="J58" s="93">
        <f>'DadosReais&amp;Graficos'!E63</f>
        <v>28.73</v>
      </c>
      <c r="K58" s="93">
        <f>Year!F9</f>
        <v>28.248112286964993</v>
      </c>
      <c r="L58" s="93">
        <f t="shared" si="2"/>
        <v>-0.48188771303500744</v>
      </c>
    </row>
    <row r="59" spans="1:12" ht="12.75">
      <c r="A59" s="92">
        <f>'DadosReais&amp;Graficos'!B64</f>
        <v>12</v>
      </c>
      <c r="B59" s="93">
        <f>'DadosReais&amp;Graficos'!G64</f>
        <v>146.89638372020994</v>
      </c>
      <c r="C59" s="93">
        <f>Year!H10</f>
        <v>144.14766452409148</v>
      </c>
      <c r="D59" s="93">
        <f t="shared" si="0"/>
        <v>-2.748719196118458</v>
      </c>
      <c r="E59" s="93"/>
      <c r="F59" s="93">
        <f>'DadosReais&amp;Graficos'!D64</f>
        <v>8.0226</v>
      </c>
      <c r="G59" s="93">
        <f>Year!E10</f>
        <v>8.27359597195894</v>
      </c>
      <c r="H59" s="93">
        <f t="shared" si="1"/>
        <v>0.25099597195893963</v>
      </c>
      <c r="I59" s="91"/>
      <c r="J59" s="93">
        <f>'DadosReais&amp;Graficos'!E64</f>
        <v>31.66</v>
      </c>
      <c r="K59" s="93">
        <f>Year!F10</f>
        <v>31.284003860233202</v>
      </c>
      <c r="L59" s="93">
        <f t="shared" si="2"/>
        <v>-0.3759961397667979</v>
      </c>
    </row>
    <row r="60" spans="1:12" ht="12.75">
      <c r="A60" s="92">
        <f>'DadosReais&amp;Graficos'!B65</f>
        <v>13</v>
      </c>
      <c r="B60" s="93">
        <f>'DadosReais&amp;Graficos'!G65</f>
        <v>165.2535229730755</v>
      </c>
      <c r="C60" s="93">
        <f>Year!H11</f>
        <v>159.85783694773932</v>
      </c>
      <c r="D60" s="93">
        <f t="shared" si="0"/>
        <v>-5.395686025336175</v>
      </c>
      <c r="E60" s="93"/>
      <c r="F60" s="93">
        <f>'DadosReais&amp;Graficos'!D65</f>
        <v>8.216</v>
      </c>
      <c r="G60" s="93">
        <f>Year!E11</f>
        <v>8.460626110649525</v>
      </c>
      <c r="H60" s="93">
        <f t="shared" si="1"/>
        <v>0.24462611064952533</v>
      </c>
      <c r="I60" s="91"/>
      <c r="J60" s="93">
        <f>'DadosReais&amp;Graficos'!E65</f>
        <v>34.48</v>
      </c>
      <c r="K60" s="93">
        <f>Year!F11</f>
        <v>33.32219988102278</v>
      </c>
      <c r="L60" s="93">
        <f t="shared" si="2"/>
        <v>-1.1578001189772138</v>
      </c>
    </row>
    <row r="61" spans="1:12" ht="12.75">
      <c r="A61" s="92">
        <f>'DadosReais&amp;Graficos'!B66</f>
        <v>14</v>
      </c>
      <c r="B61" s="93">
        <f>'DadosReais&amp;Graficos'!G66</f>
        <v>183.24411889423294</v>
      </c>
      <c r="C61" s="93">
        <f>Year!H12</f>
        <v>177.19555608421908</v>
      </c>
      <c r="D61" s="93">
        <f t="shared" si="0"/>
        <v>-6.048562810013863</v>
      </c>
      <c r="E61" s="93"/>
      <c r="F61" s="93">
        <f>'DadosReais&amp;Graficos'!D66</f>
        <v>8.365</v>
      </c>
      <c r="G61" s="93">
        <f>Year!E12</f>
        <v>8.700170965474433</v>
      </c>
      <c r="H61" s="93">
        <f t="shared" si="1"/>
        <v>0.3351709654744326</v>
      </c>
      <c r="I61" s="91"/>
      <c r="J61" s="93">
        <f>'DadosReais&amp;Graficos'!E66</f>
        <v>37.2</v>
      </c>
      <c r="K61" s="93">
        <f>Year!F12</f>
        <v>36.188084152013396</v>
      </c>
      <c r="L61" s="93">
        <f t="shared" si="2"/>
        <v>-1.0119158479866073</v>
      </c>
    </row>
    <row r="62" spans="1:12" ht="12.75">
      <c r="A62" s="92">
        <f>'DadosReais&amp;Graficos'!B67</f>
        <v>15</v>
      </c>
      <c r="B62" s="93">
        <f>'DadosReais&amp;Graficos'!G67</f>
        <v>196.95505171875206</v>
      </c>
      <c r="C62" s="93">
        <f>Year!H13</f>
        <v>189.91883615821433</v>
      </c>
      <c r="D62" s="93">
        <f t="shared" si="0"/>
        <v>-7.036215560537727</v>
      </c>
      <c r="E62" s="93"/>
      <c r="F62" s="93">
        <f>'DadosReais&amp;Graficos'!D67</f>
        <v>8.478</v>
      </c>
      <c r="G62" s="93">
        <f>Year!E13</f>
        <v>8.55648493070836</v>
      </c>
      <c r="H62" s="93">
        <f t="shared" si="1"/>
        <v>0.07848493070835971</v>
      </c>
      <c r="I62" s="91"/>
      <c r="J62" s="93">
        <f>'DadosReais&amp;Graficos'!E67</f>
        <v>39.81</v>
      </c>
      <c r="K62" s="93">
        <f>Year!F13</f>
        <v>37.05421235707096</v>
      </c>
      <c r="L62" s="93">
        <f t="shared" si="2"/>
        <v>-2.755787642929043</v>
      </c>
    </row>
    <row r="63" spans="1:12" ht="12.75">
      <c r="A63" s="92">
        <f>'DadosReais&amp;Graficos'!B68</f>
        <v>15.8</v>
      </c>
      <c r="B63" s="93">
        <f>'DadosReais&amp;Graficos'!G68</f>
        <v>201.2807011751174</v>
      </c>
      <c r="C63" s="93">
        <f>Year!H14</f>
        <v>198.58611322973266</v>
      </c>
      <c r="D63" s="93">
        <f t="shared" si="0"/>
        <v>-2.6945879453847397</v>
      </c>
      <c r="E63" s="93"/>
      <c r="F63" s="93">
        <f>'DadosReais&amp;Graficos'!D68</f>
        <v>8.561</v>
      </c>
      <c r="G63" s="93">
        <f>Year!E14</f>
        <v>8.364018841032477</v>
      </c>
      <c r="H63" s="93">
        <f t="shared" si="1"/>
        <v>-0.19698115896752277</v>
      </c>
      <c r="I63" s="91"/>
      <c r="J63" s="93">
        <f>'DadosReais&amp;Graficos'!E68</f>
        <v>42.32</v>
      </c>
      <c r="K63" s="93">
        <f>Year!F14</f>
        <v>37.29177189165381</v>
      </c>
      <c r="L63" s="93">
        <f t="shared" si="2"/>
        <v>-5.028228108346191</v>
      </c>
    </row>
    <row r="64" spans="1:12" ht="12.75">
      <c r="A64" s="92">
        <f>'DadosReais&amp;Graficos'!B69</f>
        <v>16.9</v>
      </c>
      <c r="B64" s="93">
        <f>'DadosReais&amp;Graficos'!G69</f>
        <v>214.86131883957557</v>
      </c>
      <c r="C64" s="93">
        <f>Year!H15</f>
        <v>212.22559164585988</v>
      </c>
      <c r="D64" s="93">
        <f t="shared" si="0"/>
        <v>-2.635727193715695</v>
      </c>
      <c r="E64" s="93"/>
      <c r="F64" s="93">
        <f>'DadosReais&amp;Graficos'!D69</f>
        <v>8.617</v>
      </c>
      <c r="G64" s="93">
        <f>Year!E15</f>
        <v>8.188734277747997</v>
      </c>
      <c r="H64" s="93">
        <f t="shared" si="1"/>
        <v>-0.42826572225200366</v>
      </c>
      <c r="I64" s="91"/>
      <c r="J64" s="93">
        <f>'DadosReais&amp;Graficos'!E69</f>
        <v>44.72</v>
      </c>
      <c r="K64" s="93">
        <f>Year!F15</f>
        <v>37.9652605311614</v>
      </c>
      <c r="L64" s="93">
        <f t="shared" si="2"/>
        <v>-6.754739468838601</v>
      </c>
    </row>
    <row r="65" spans="1:12" ht="12.75">
      <c r="A65" s="92">
        <f>'DadosReais&amp;Graficos'!B70</f>
        <v>17.9</v>
      </c>
      <c r="B65" s="93">
        <f>'DadosReais&amp;Graficos'!G70</f>
        <v>216.23230066005067</v>
      </c>
      <c r="C65" s="93">
        <f>Year!H16</f>
        <v>218.2798087639771</v>
      </c>
      <c r="D65" s="93">
        <f t="shared" si="0"/>
        <v>2.0475081039264182</v>
      </c>
      <c r="E65" s="93"/>
      <c r="F65" s="93">
        <f>'DadosReais&amp;Graficos'!D70</f>
        <v>8.649</v>
      </c>
      <c r="G65" s="93">
        <f>Year!E16</f>
        <v>7.5539495991522045</v>
      </c>
      <c r="H65" s="93">
        <f t="shared" si="1"/>
        <v>-1.0950504008477946</v>
      </c>
      <c r="I65" s="91"/>
      <c r="J65" s="93">
        <f>'DadosReais&amp;Graficos'!E70</f>
        <v>47.64</v>
      </c>
      <c r="K65" s="93">
        <f>Year!F16</f>
        <v>37.42191341059623</v>
      </c>
      <c r="L65" s="93">
        <f t="shared" si="2"/>
        <v>-10.218086589403768</v>
      </c>
    </row>
    <row r="66" spans="1:12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6">
      <selection activeCell="F5" sqref="F5:G5"/>
    </sheetView>
  </sheetViews>
  <sheetFormatPr defaultColWidth="8.7109375" defaultRowHeight="12.75"/>
  <cols>
    <col min="1" max="16384" width="8.7109375" style="91" customWidth="1"/>
  </cols>
  <sheetData>
    <row r="2" spans="1:13" ht="12.75">
      <c r="A2" s="94"/>
      <c r="B2" s="95" t="s">
        <v>129</v>
      </c>
      <c r="C2" s="96"/>
      <c r="D2" s="96"/>
      <c r="E2" s="95" t="s">
        <v>130</v>
      </c>
      <c r="F2" s="96"/>
      <c r="G2" s="133"/>
      <c r="H2" s="97" t="s">
        <v>221</v>
      </c>
      <c r="I2" s="98"/>
      <c r="J2" s="98"/>
      <c r="K2" s="98"/>
      <c r="L2" s="98"/>
      <c r="M2" s="98"/>
    </row>
    <row r="3" spans="1:13" ht="12.75">
      <c r="A3" s="99"/>
      <c r="B3" s="100" t="s">
        <v>131</v>
      </c>
      <c r="C3" s="123">
        <v>39</v>
      </c>
      <c r="D3" s="102"/>
      <c r="E3" s="100" t="s">
        <v>289</v>
      </c>
      <c r="F3" s="173">
        <v>27484</v>
      </c>
      <c r="G3" s="173"/>
      <c r="H3" s="103">
        <v>1</v>
      </c>
      <c r="I3" s="98" t="s">
        <v>223</v>
      </c>
      <c r="J3" s="98"/>
      <c r="K3" s="98"/>
      <c r="L3" s="98"/>
      <c r="M3" s="98"/>
    </row>
    <row r="4" spans="1:13" ht="12.75">
      <c r="A4" s="99"/>
      <c r="B4" s="100" t="s">
        <v>132</v>
      </c>
      <c r="C4" s="123">
        <v>0.6</v>
      </c>
      <c r="D4" s="102"/>
      <c r="E4" s="100" t="s">
        <v>296</v>
      </c>
      <c r="F4" s="122">
        <v>6</v>
      </c>
      <c r="G4" s="133"/>
      <c r="H4" s="103">
        <v>2</v>
      </c>
      <c r="I4" s="98" t="s">
        <v>226</v>
      </c>
      <c r="J4" s="98"/>
      <c r="K4" s="98"/>
      <c r="L4" s="98"/>
      <c r="M4" s="98"/>
    </row>
    <row r="5" spans="1:13" ht="12.75">
      <c r="A5" s="99"/>
      <c r="B5" s="100" t="s">
        <v>133</v>
      </c>
      <c r="C5" s="123">
        <v>2</v>
      </c>
      <c r="D5" s="102"/>
      <c r="E5" s="100" t="s">
        <v>297</v>
      </c>
      <c r="F5" s="174">
        <f>DatePlant+365*IniAge+3</f>
        <v>29677</v>
      </c>
      <c r="G5" s="174"/>
      <c r="H5" s="103">
        <v>3</v>
      </c>
      <c r="I5" s="98" t="s">
        <v>224</v>
      </c>
      <c r="J5" s="98"/>
      <c r="K5" s="98"/>
      <c r="L5" s="98"/>
      <c r="M5" s="98"/>
    </row>
    <row r="6" spans="1:13" ht="12.75">
      <c r="A6" s="99"/>
      <c r="B6" s="100" t="s">
        <v>134</v>
      </c>
      <c r="C6" s="123">
        <v>200</v>
      </c>
      <c r="D6" s="102"/>
      <c r="E6" s="100" t="s">
        <v>136</v>
      </c>
      <c r="F6" s="122">
        <v>17.9</v>
      </c>
      <c r="G6" s="134"/>
      <c r="H6" s="103">
        <v>4</v>
      </c>
      <c r="I6" s="98" t="s">
        <v>225</v>
      </c>
      <c r="J6" s="98"/>
      <c r="K6" s="98"/>
      <c r="L6" s="98"/>
      <c r="M6" s="98"/>
    </row>
    <row r="7" spans="1:13" ht="12.75">
      <c r="A7" s="104"/>
      <c r="B7" s="100" t="s">
        <v>135</v>
      </c>
      <c r="C7" s="123">
        <v>0</v>
      </c>
      <c r="D7" s="105"/>
      <c r="E7" s="100" t="s">
        <v>137</v>
      </c>
      <c r="F7" s="101">
        <v>5.58</v>
      </c>
      <c r="G7" s="134"/>
      <c r="H7" s="103" t="s">
        <v>222</v>
      </c>
      <c r="I7" s="98" t="s">
        <v>228</v>
      </c>
      <c r="J7" s="98"/>
      <c r="K7" s="98"/>
      <c r="L7" s="98"/>
      <c r="M7" s="98"/>
    </row>
    <row r="8" spans="1:13" ht="12.75">
      <c r="A8" s="99"/>
      <c r="B8" s="100"/>
      <c r="C8" s="101"/>
      <c r="D8" s="102"/>
      <c r="E8" s="100" t="s">
        <v>138</v>
      </c>
      <c r="F8" s="101">
        <v>12.81</v>
      </c>
      <c r="G8" s="133"/>
      <c r="H8" s="103">
        <v>0</v>
      </c>
      <c r="I8" s="98" t="s">
        <v>227</v>
      </c>
      <c r="J8" s="98"/>
      <c r="K8" s="98"/>
      <c r="L8" s="98"/>
      <c r="M8" s="98"/>
    </row>
    <row r="9" spans="1:13" ht="12.75">
      <c r="A9" s="104"/>
      <c r="B9" s="100"/>
      <c r="C9" s="101"/>
      <c r="D9" s="106"/>
      <c r="E9" s="100" t="s">
        <v>139</v>
      </c>
      <c r="F9" s="101">
        <v>45.92</v>
      </c>
      <c r="G9" s="133"/>
      <c r="H9" s="98"/>
      <c r="I9" s="98"/>
      <c r="J9" s="98"/>
      <c r="K9" s="98"/>
      <c r="L9" s="98"/>
      <c r="M9" s="98"/>
    </row>
    <row r="10" spans="1:7" ht="12.75">
      <c r="A10" s="107"/>
      <c r="B10" s="100"/>
      <c r="C10" s="101"/>
      <c r="D10" s="108"/>
      <c r="E10" s="100" t="s">
        <v>140</v>
      </c>
      <c r="F10" s="122">
        <v>1111</v>
      </c>
      <c r="G10" s="133"/>
    </row>
    <row r="11" spans="1:7" ht="12.75">
      <c r="A11" s="107"/>
      <c r="B11" s="108"/>
      <c r="C11" s="108"/>
      <c r="D11" s="109"/>
      <c r="E11" s="100" t="s">
        <v>141</v>
      </c>
      <c r="F11" s="122">
        <v>200</v>
      </c>
      <c r="G11" s="133"/>
    </row>
    <row r="58" spans="1:12" ht="25.5">
      <c r="A58" s="132" t="s">
        <v>270</v>
      </c>
      <c r="B58" s="90" t="s">
        <v>142</v>
      </c>
      <c r="C58" s="110" t="s">
        <v>229</v>
      </c>
      <c r="D58" s="90" t="s">
        <v>148</v>
      </c>
      <c r="E58" s="90" t="s">
        <v>149</v>
      </c>
      <c r="F58" s="90" t="s">
        <v>266</v>
      </c>
      <c r="G58" s="90" t="s">
        <v>267</v>
      </c>
      <c r="H58" s="90" t="s">
        <v>151</v>
      </c>
      <c r="I58" s="21" t="s">
        <v>214</v>
      </c>
      <c r="J58" s="90" t="s">
        <v>156</v>
      </c>
      <c r="K58" s="21" t="s">
        <v>215</v>
      </c>
      <c r="L58" s="90" t="s">
        <v>144</v>
      </c>
    </row>
    <row r="59" spans="1:12" ht="12.75">
      <c r="A59" s="91">
        <v>1981</v>
      </c>
      <c r="B59" s="111">
        <v>6</v>
      </c>
      <c r="C59" s="112">
        <v>1041.6666666666667</v>
      </c>
      <c r="D59" s="113">
        <v>5.578</v>
      </c>
      <c r="E59" s="91">
        <v>12.81</v>
      </c>
      <c r="F59" s="113">
        <v>45.1304536990793</v>
      </c>
      <c r="G59" s="113">
        <v>50.02285120753074</v>
      </c>
      <c r="H59" s="93">
        <v>12.216683952277684</v>
      </c>
      <c r="I59" s="113">
        <v>81.91340346358936</v>
      </c>
      <c r="J59" s="93">
        <v>13.652233910598227</v>
      </c>
      <c r="K59" s="113">
        <v>12.210271642567182</v>
      </c>
      <c r="L59" s="113"/>
    </row>
    <row r="60" spans="1:12" ht="12.75">
      <c r="A60" s="91">
        <f>A59+1</f>
        <v>1982</v>
      </c>
      <c r="B60" s="111">
        <v>7.8</v>
      </c>
      <c r="C60" s="112">
        <v>1041.6666666666667</v>
      </c>
      <c r="D60" s="113">
        <v>6.713</v>
      </c>
      <c r="E60" s="91">
        <v>19.36</v>
      </c>
      <c r="F60" s="113">
        <v>72.0703820746949</v>
      </c>
      <c r="G60" s="113">
        <v>78.13462072984947</v>
      </c>
      <c r="H60" s="93">
        <v>14.268883755776265</v>
      </c>
      <c r="I60" s="113">
        <v>128.53953686924353</v>
      </c>
      <c r="J60" s="93">
        <v>16.47942780374917</v>
      </c>
      <c r="K60" s="113">
        <v>16.657071430979677</v>
      </c>
      <c r="L60" s="113"/>
    </row>
    <row r="61" spans="1:12" ht="12.75">
      <c r="A61" s="91">
        <f aca="true" t="shared" si="0" ref="A61:A70">A60+1</f>
        <v>1983</v>
      </c>
      <c r="B61" s="111">
        <v>9</v>
      </c>
      <c r="C61" s="112">
        <v>1037.037037037037</v>
      </c>
      <c r="D61" s="113">
        <v>7.142</v>
      </c>
      <c r="E61" s="91">
        <v>22.56</v>
      </c>
      <c r="F61" s="113">
        <v>86.24650980887206</v>
      </c>
      <c r="G61" s="113">
        <v>92.82294963125844</v>
      </c>
      <c r="H61" s="93">
        <v>15.194977985307387</v>
      </c>
      <c r="I61" s="113">
        <v>152.39545883355365</v>
      </c>
      <c r="J61" s="93">
        <v>16.932828759283737</v>
      </c>
      <c r="K61" s="113">
        <v>18.805474627193714</v>
      </c>
      <c r="L61" s="113"/>
    </row>
    <row r="62" spans="1:12" ht="12.75">
      <c r="A62" s="91">
        <f t="shared" si="0"/>
        <v>1984</v>
      </c>
      <c r="B62" s="111">
        <v>9.9</v>
      </c>
      <c r="C62" s="112">
        <v>1032.4074074074074</v>
      </c>
      <c r="D62" s="113">
        <v>7.497</v>
      </c>
      <c r="E62" s="91">
        <v>25.69</v>
      </c>
      <c r="F62" s="113">
        <v>100.87206017157428</v>
      </c>
      <c r="G62" s="113">
        <v>107.84463020754544</v>
      </c>
      <c r="H62" s="93">
        <v>15.909580179794078</v>
      </c>
      <c r="I62" s="113">
        <v>176.3435996509667</v>
      </c>
      <c r="J62" s="93">
        <v>17.81248481322896</v>
      </c>
      <c r="K62" s="113">
        <v>20.523831130313727</v>
      </c>
      <c r="L62" s="113"/>
    </row>
    <row r="63" spans="1:12" ht="12.75">
      <c r="A63" s="91">
        <f t="shared" si="0"/>
        <v>1985</v>
      </c>
      <c r="B63" s="111">
        <v>10.8</v>
      </c>
      <c r="C63" s="112">
        <v>1009.2592592592592</v>
      </c>
      <c r="D63" s="113">
        <v>7.789</v>
      </c>
      <c r="E63" s="91">
        <v>28.73</v>
      </c>
      <c r="F63" s="113">
        <v>117.41909825984442</v>
      </c>
      <c r="G63" s="113">
        <v>124.84043253688128</v>
      </c>
      <c r="H63" s="93">
        <v>16.819798128937958</v>
      </c>
      <c r="I63" s="113">
        <v>203.11317907243097</v>
      </c>
      <c r="J63" s="93">
        <v>18.806775840039904</v>
      </c>
      <c r="K63" s="113">
        <v>22.425089344688384</v>
      </c>
      <c r="L63" s="113"/>
    </row>
    <row r="64" spans="1:12" ht="12.75">
      <c r="A64" s="91">
        <f t="shared" si="0"/>
        <v>1986</v>
      </c>
      <c r="B64" s="111">
        <v>12</v>
      </c>
      <c r="C64" s="112">
        <v>1004.6296296296297</v>
      </c>
      <c r="D64" s="113">
        <v>8.0226</v>
      </c>
      <c r="E64" s="91">
        <v>31.66</v>
      </c>
      <c r="F64" s="113">
        <v>138.83074740143283</v>
      </c>
      <c r="G64" s="113">
        <v>146.89638372020994</v>
      </c>
      <c r="H64" s="93">
        <v>17.75442928804151</v>
      </c>
      <c r="I64" s="113">
        <v>237.25047207473258</v>
      </c>
      <c r="J64" s="93">
        <v>19.77087267289438</v>
      </c>
      <c r="K64" s="113">
        <v>24.871919144456072</v>
      </c>
      <c r="L64" s="113"/>
    </row>
    <row r="65" spans="1:12" ht="12.75">
      <c r="A65" s="91">
        <f t="shared" si="0"/>
        <v>1987</v>
      </c>
      <c r="B65" s="111">
        <v>13</v>
      </c>
      <c r="C65" s="112">
        <v>1000</v>
      </c>
      <c r="D65" s="113">
        <v>8.216</v>
      </c>
      <c r="E65" s="91">
        <v>34.48</v>
      </c>
      <c r="F65" s="113">
        <v>156.77983901195736</v>
      </c>
      <c r="G65" s="113">
        <v>165.2535229730755</v>
      </c>
      <c r="H65" s="93">
        <v>18.468698856648484</v>
      </c>
      <c r="I65" s="113">
        <v>265.69853020633934</v>
      </c>
      <c r="J65" s="93">
        <v>20.43834847741072</v>
      </c>
      <c r="K65" s="113">
        <v>26.789368808719903</v>
      </c>
      <c r="L65" s="113"/>
    </row>
    <row r="66" spans="1:12" ht="12.75">
      <c r="A66" s="91">
        <f t="shared" si="0"/>
        <v>1988</v>
      </c>
      <c r="B66" s="111">
        <v>14</v>
      </c>
      <c r="C66" s="112">
        <v>995.3703703703704</v>
      </c>
      <c r="D66" s="113">
        <v>8.365</v>
      </c>
      <c r="E66" s="91">
        <v>37.2</v>
      </c>
      <c r="F66" s="113">
        <v>174.37517160646686</v>
      </c>
      <c r="G66" s="113">
        <v>183.24411889423294</v>
      </c>
      <c r="H66" s="93">
        <v>19.013003186082717</v>
      </c>
      <c r="I66" s="113">
        <v>292.87826500605325</v>
      </c>
      <c r="J66" s="93">
        <v>20.919876071860948</v>
      </c>
      <c r="K66" s="113">
        <v>28.260252123428703</v>
      </c>
      <c r="L66" s="113"/>
    </row>
    <row r="67" spans="1:12" ht="12.75">
      <c r="A67" s="91">
        <f t="shared" si="0"/>
        <v>1989</v>
      </c>
      <c r="B67" s="111">
        <v>15</v>
      </c>
      <c r="C67" s="112">
        <v>981.4814814814815</v>
      </c>
      <c r="D67" s="113">
        <v>8.478</v>
      </c>
      <c r="E67" s="91">
        <v>39.81</v>
      </c>
      <c r="F67" s="113">
        <v>187.8737766569547</v>
      </c>
      <c r="G67" s="113">
        <v>196.95505171875206</v>
      </c>
      <c r="H67" s="93">
        <v>19.511639003750577</v>
      </c>
      <c r="I67" s="113">
        <v>313.4388227323774</v>
      </c>
      <c r="J67" s="93">
        <v>20.895921515491825</v>
      </c>
      <c r="K67" s="113">
        <v>29.34671508085659</v>
      </c>
      <c r="L67" s="113"/>
    </row>
    <row r="68" spans="1:12" ht="12.75">
      <c r="A68" s="91">
        <f t="shared" si="0"/>
        <v>1990</v>
      </c>
      <c r="B68" s="111">
        <v>15.8</v>
      </c>
      <c r="C68" s="112">
        <v>981.4814814814815</v>
      </c>
      <c r="D68" s="113">
        <v>8.561</v>
      </c>
      <c r="E68" s="91">
        <v>42.32</v>
      </c>
      <c r="F68" s="113">
        <v>192.24305777908177</v>
      </c>
      <c r="G68" s="113">
        <v>201.2807011751174</v>
      </c>
      <c r="H68" s="93">
        <v>19.674560363679984</v>
      </c>
      <c r="I68" s="113">
        <v>320.4352512287246</v>
      </c>
      <c r="J68" s="93">
        <v>20.280712103083836</v>
      </c>
      <c r="K68" s="113">
        <v>29.8388488443439</v>
      </c>
      <c r="L68" s="113"/>
    </row>
    <row r="69" spans="1:12" ht="12.75">
      <c r="A69" s="91">
        <f t="shared" si="0"/>
        <v>1991</v>
      </c>
      <c r="B69" s="111">
        <v>16.9</v>
      </c>
      <c r="C69" s="112">
        <v>981.4814814814815</v>
      </c>
      <c r="D69" s="113">
        <v>8.617</v>
      </c>
      <c r="E69" s="91">
        <v>44.72</v>
      </c>
      <c r="F69" s="113">
        <v>205.5239582907393</v>
      </c>
      <c r="G69" s="113">
        <v>214.86131883957557</v>
      </c>
      <c r="H69" s="93">
        <v>20.117302532522768</v>
      </c>
      <c r="I69" s="113">
        <v>341.00065676477</v>
      </c>
      <c r="J69" s="93">
        <v>20.177553654720118</v>
      </c>
      <c r="K69" s="113">
        <v>31.19690319410868</v>
      </c>
      <c r="L69" s="113"/>
    </row>
    <row r="70" spans="1:12" ht="12.75">
      <c r="A70" s="91">
        <f t="shared" si="0"/>
        <v>1992</v>
      </c>
      <c r="B70" s="111">
        <v>17.9</v>
      </c>
      <c r="C70" s="112">
        <v>981.4814814814815</v>
      </c>
      <c r="D70" s="113">
        <v>8.649</v>
      </c>
      <c r="E70" s="91">
        <v>47.64</v>
      </c>
      <c r="F70" s="113">
        <v>206.99559370801296</v>
      </c>
      <c r="G70" s="113">
        <v>216.23230066005067</v>
      </c>
      <c r="H70" s="93">
        <v>20.16644040974358</v>
      </c>
      <c r="I70" s="113">
        <v>343.384956098624</v>
      </c>
      <c r="J70" s="93">
        <v>19.18351710048179</v>
      </c>
      <c r="K70" s="113">
        <v>31.349490427220545</v>
      </c>
      <c r="L70" s="113"/>
    </row>
    <row r="71" ht="12.75">
      <c r="E71" s="113"/>
    </row>
    <row r="72" ht="12.75">
      <c r="E72" s="113"/>
    </row>
  </sheetData>
  <sheetProtection/>
  <mergeCells count="2">
    <mergeCell ref="F3:G3"/>
    <mergeCell ref="F5:G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6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:E16"/>
    </sheetView>
  </sheetViews>
  <sheetFormatPr defaultColWidth="9.140625" defaultRowHeight="12.75"/>
  <cols>
    <col min="2" max="2" width="11.8515625" style="18" bestFit="1" customWidth="1"/>
    <col min="3" max="3" width="8.7109375" style="17" bestFit="1" customWidth="1"/>
    <col min="4" max="4" width="8.7109375" style="22" bestFit="1" customWidth="1"/>
    <col min="5" max="5" width="8.7109375" style="17" bestFit="1" customWidth="1"/>
    <col min="6" max="6" width="10.00390625" style="17" bestFit="1" customWidth="1"/>
    <col min="7" max="7" width="8.7109375" style="17" bestFit="1" customWidth="1"/>
    <col min="8" max="17" width="8.7109375" style="17" customWidth="1"/>
  </cols>
  <sheetData>
    <row r="2" spans="2:21" s="19" customFormat="1" ht="36">
      <c r="B2" s="20" t="s">
        <v>147</v>
      </c>
      <c r="C2" s="21" t="s">
        <v>142</v>
      </c>
      <c r="D2" s="31" t="s">
        <v>143</v>
      </c>
      <c r="E2" s="21" t="s">
        <v>148</v>
      </c>
      <c r="F2" s="21" t="s">
        <v>149</v>
      </c>
      <c r="G2" s="21" t="s">
        <v>153</v>
      </c>
      <c r="H2" s="21" t="s">
        <v>267</v>
      </c>
      <c r="I2" s="21" t="s">
        <v>185</v>
      </c>
      <c r="J2" s="21" t="s">
        <v>186</v>
      </c>
      <c r="K2" s="21" t="s">
        <v>150</v>
      </c>
      <c r="L2" s="21" t="s">
        <v>144</v>
      </c>
      <c r="M2" s="21" t="s">
        <v>154</v>
      </c>
      <c r="N2" s="21" t="s">
        <v>151</v>
      </c>
      <c r="O2" s="21" t="s">
        <v>214</v>
      </c>
      <c r="P2" s="21" t="s">
        <v>156</v>
      </c>
      <c r="Q2" s="21" t="s">
        <v>215</v>
      </c>
      <c r="R2" s="21" t="s">
        <v>172</v>
      </c>
      <c r="S2" s="21" t="s">
        <v>204</v>
      </c>
      <c r="T2" s="21"/>
      <c r="U2" s="21"/>
    </row>
    <row r="3" spans="1:17" ht="12.75">
      <c r="A3" t="s">
        <v>146</v>
      </c>
      <c r="B3" s="18">
        <f>'DadosReais&amp;Graficos'!DatePlant</f>
        <v>27484</v>
      </c>
      <c r="C3" s="16"/>
      <c r="D3" s="3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7" ht="12.75">
      <c r="C4" s="16"/>
      <c r="D4" s="3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21" ht="12.75">
      <c r="B5" s="114">
        <f>LOOKUP($C5,Month!$B$5:$B$149,Month!A$5:A$149)</f>
        <v>29676</v>
      </c>
      <c r="C5" s="17">
        <f>'DadosReais&amp;Graficos'!IniAge</f>
        <v>6</v>
      </c>
      <c r="D5" s="22">
        <f>'DadosReais&amp;Graficos'!Npl</f>
        <v>1111</v>
      </c>
      <c r="E5" s="17">
        <f>'DadosReais&amp;Graficos'!IniWf</f>
        <v>5.58</v>
      </c>
      <c r="F5" s="17">
        <f>'DadosReais&amp;Graficos'!IniWr</f>
        <v>12.81</v>
      </c>
      <c r="G5" s="17">
        <f>'DadosReais&amp;Graficos'!IniWs</f>
        <v>45.92</v>
      </c>
      <c r="H5" s="17">
        <f>E5+G5</f>
        <v>51.5</v>
      </c>
      <c r="I5" s="17">
        <f>SUM(E5:G5)</f>
        <v>64.31</v>
      </c>
      <c r="J5" s="17">
        <v>0</v>
      </c>
      <c r="K5" s="17">
        <f>SLA1+(SLA0-SLA1)*EXP(-LN(2)*(C5/tSLA)^2)</f>
        <v>4.129171072343855</v>
      </c>
      <c r="L5" s="17">
        <f>0.1*E5*K5</f>
        <v>2.304077458367871</v>
      </c>
      <c r="M5" s="17">
        <f>G5/D5*1000</f>
        <v>41.332133213321335</v>
      </c>
      <c r="N5" s="17">
        <f>0.1*G5*M5</f>
        <v>189.7971557155716</v>
      </c>
      <c r="O5" s="17">
        <f>LOOKUP($B5,Month!$A$5:$A$938,Month!W$5:W$938)</f>
        <v>79.08444444444444</v>
      </c>
      <c r="P5" s="17">
        <f>LOOKUP($B5,Month!$A$5:$A$938,Month!X$5:X$938)</f>
        <v>13.18074074074074</v>
      </c>
      <c r="Q5" s="17">
        <f>LOOKUP($B5,Month!$A$5:$A$938,Month!Y$5:Y$938)</f>
        <v>11.539288290996396</v>
      </c>
      <c r="R5" s="17">
        <f>LOOKUP($B5,Month!$A$5:$A$938,Month!AT$5:AT$938)</f>
        <v>7.611709759064666</v>
      </c>
      <c r="S5" s="17">
        <f>LOOKUP($B5,Month!$A$5:$A$938,Month!AU$5:AU$938)</f>
        <v>3.577503586760393</v>
      </c>
      <c r="T5" s="17"/>
      <c r="U5" s="17"/>
    </row>
    <row r="6" spans="2:21" ht="12.75">
      <c r="B6" s="114">
        <f>LOOKUP($C6,Month!$B$5:$B$149,Month!A$5:A$149)</f>
        <v>30313</v>
      </c>
      <c r="C6" s="17">
        <f>'DadosReais&amp;Graficos'!B60</f>
        <v>7.8</v>
      </c>
      <c r="D6" s="22">
        <f>LOOKUP($B6,Month!$A$5:$A$938,Month!E$5:E$938)</f>
        <v>1111</v>
      </c>
      <c r="E6" s="17">
        <f>LOOKUP($B6,Month!$A$5:$A$938,Month!F$5:F$938)</f>
        <v>6.7206258986402165</v>
      </c>
      <c r="F6" s="17">
        <f>LOOKUP($B6,Month!$A$5:$A$938,Month!G$5:G$938)</f>
        <v>19.837998472047104</v>
      </c>
      <c r="G6" s="17">
        <f>LOOKUP($B6,Month!$A$5:$A$938,Month!H$5:H$938)</f>
        <v>71.26254401437036</v>
      </c>
      <c r="H6" s="17">
        <f aca="true" t="shared" si="0" ref="H6:H16">E6+G6</f>
        <v>77.98316991301058</v>
      </c>
      <c r="I6" s="17">
        <f>LOOKUP($B6,Month!$A$5:$A$938,Month!J$5:J$938)</f>
        <v>97.82116838505769</v>
      </c>
      <c r="J6" s="17">
        <f>LOOKUP($B6,Month!$A$5:$A$938,Month!M$5:M$938)</f>
        <v>1.7833170404649292</v>
      </c>
      <c r="K6" s="17">
        <f>LOOKUP($B6,Month!$A$5:$A$938,Month!K$5:K$938)</f>
        <v>4.008957767409188</v>
      </c>
      <c r="L6" s="17">
        <f>LOOKUP($B6,Month!$A$5:$A$938,Month!L$5:L$938)</f>
        <v>2.694270539820505</v>
      </c>
      <c r="M6" s="17">
        <f>LOOKUP($B6,Month!$A$5:$A$938,Month!S$5:S$938)</f>
        <v>64.14270388332166</v>
      </c>
      <c r="N6" s="17">
        <f>LOOKUP($B6,Month!$A$5:$A$938,Month!T$5:T$938)</f>
        <v>13.527398187270258</v>
      </c>
      <c r="O6" s="17">
        <f>LOOKUP($B6,Month!$A$5:$A$938,Month!W$5:W$938)</f>
        <v>128.13099797461047</v>
      </c>
      <c r="P6" s="17">
        <f>LOOKUP($B6,Month!$A$5:$A$938,Month!X$5:X$938)</f>
        <v>16.533031996723945</v>
      </c>
      <c r="Q6" s="17">
        <f>LOOKUP($B6,Month!$A$5:$A$938,Month!Y$5:Y$938)</f>
        <v>15.967336880809253</v>
      </c>
      <c r="R6" s="17">
        <f>LOOKUP($B6,Month!$A$5:$A$938,Month!AT$5:AT$938)</f>
        <v>1.6268286001677448</v>
      </c>
      <c r="S6" s="17">
        <f>LOOKUP($B6,Month!$A$5:$A$938,Month!AU$5:AU$938)</f>
        <v>0.76460944207884</v>
      </c>
      <c r="T6" s="17"/>
      <c r="U6" s="17"/>
    </row>
    <row r="7" spans="2:21" ht="12.75">
      <c r="B7" s="114">
        <f>LOOKUP($C7,Month!$B$5:$B$149,Month!A$5:A$149)</f>
        <v>30769</v>
      </c>
      <c r="C7" s="17">
        <f>'DadosReais&amp;Graficos'!B61</f>
        <v>9</v>
      </c>
      <c r="D7" s="22">
        <f>LOOKUP($B7,Month!$A$5:$A$938,Month!E$5:E$938)</f>
        <v>1111</v>
      </c>
      <c r="E7" s="17">
        <f>LOOKUP($B7,Month!$A$5:$A$938,Month!F$5:F$938)</f>
        <v>7.124990766957302</v>
      </c>
      <c r="F7" s="17">
        <f>LOOKUP($B7,Month!$A$5:$A$938,Month!G$5:G$938)</f>
        <v>22.82868993804088</v>
      </c>
      <c r="G7" s="17">
        <f>LOOKUP($B7,Month!$A$5:$A$938,Month!H$5:H$938)</f>
        <v>87.69484298646636</v>
      </c>
      <c r="H7" s="17">
        <f t="shared" si="0"/>
        <v>94.81983375342365</v>
      </c>
      <c r="I7" s="17">
        <f>LOOKUP($B7,Month!$A$5:$A$938,Month!J$5:J$938)</f>
        <v>117.64852369146453</v>
      </c>
      <c r="J7" s="17">
        <f>LOOKUP($B7,Month!$A$5:$A$938,Month!M$5:M$938)</f>
        <v>3.1615886263295367</v>
      </c>
      <c r="K7" s="17">
        <f>LOOKUP($B7,Month!$A$5:$A$938,Month!K$5:K$938)</f>
        <v>4.000878515232738</v>
      </c>
      <c r="L7" s="17">
        <f>LOOKUP($B7,Month!$A$5:$A$938,Month!L$5:L$938)</f>
        <v>2.85062224807511</v>
      </c>
      <c r="M7" s="17">
        <f>LOOKUP($B7,Month!$A$5:$A$938,Month!S$5:S$938)</f>
        <v>78.93325201302102</v>
      </c>
      <c r="N7" s="17">
        <f>LOOKUP($B7,Month!$A$5:$A$938,Month!T$5:T$938)</f>
        <v>14.605381201736495</v>
      </c>
      <c r="O7" s="17">
        <f>LOOKUP($B7,Month!$A$5:$A$938,Month!W$5:W$938)</f>
        <v>160.47834635075702</v>
      </c>
      <c r="P7" s="17">
        <f>LOOKUP($B7,Month!$A$5:$A$938,Month!X$5:X$938)</f>
        <v>17.830927372306334</v>
      </c>
      <c r="Q7" s="17">
        <f>LOOKUP($B7,Month!$A$5:$A$938,Month!Y$5:Y$938)</f>
        <v>18.6135724258129</v>
      </c>
      <c r="R7" s="17">
        <f>LOOKUP($B7,Month!$A$5:$A$938,Month!AT$5:AT$938)</f>
        <v>10.142099214139584</v>
      </c>
      <c r="S7" s="17">
        <f>LOOKUP($B7,Month!$A$5:$A$938,Month!AU$5:AU$938)</f>
        <v>4.766786630645604</v>
      </c>
      <c r="T7" s="17"/>
      <c r="U7" s="17"/>
    </row>
    <row r="8" spans="2:21" ht="12.75">
      <c r="B8" s="114">
        <f>LOOKUP($C8,Month!$B$5:$B$149,Month!A$5:A$149)</f>
        <v>31075</v>
      </c>
      <c r="C8" s="17">
        <f>'DadosReais&amp;Graficos'!B62</f>
        <v>9.9</v>
      </c>
      <c r="D8" s="22">
        <f>LOOKUP($B8,Month!$A$5:$A$938,Month!E$5:E$938)</f>
        <v>1111</v>
      </c>
      <c r="E8" s="17">
        <f>LOOKUP($B8,Month!$A$5:$A$938,Month!F$5:F$938)</f>
        <v>7.523964005026846</v>
      </c>
      <c r="F8" s="17">
        <f>LOOKUP($B8,Month!$A$5:$A$938,Month!G$5:G$938)</f>
        <v>25.61472677701555</v>
      </c>
      <c r="G8" s="17">
        <f>LOOKUP($B8,Month!$A$5:$A$938,Month!H$5:H$938)</f>
        <v>100.96925305065402</v>
      </c>
      <c r="H8" s="17">
        <f t="shared" si="0"/>
        <v>108.49321705568086</v>
      </c>
      <c r="I8" s="17">
        <f>LOOKUP($B8,Month!$A$5:$A$938,Month!J$5:J$938)</f>
        <v>134.1079438326964</v>
      </c>
      <c r="J8" s="17">
        <f>LOOKUP($B8,Month!$A$5:$A$938,Month!M$5:M$938)</f>
        <v>4.155594480590781</v>
      </c>
      <c r="K8" s="17">
        <f>LOOKUP($B8,Month!$A$5:$A$938,Month!K$5:K$938)</f>
        <v>4.000154109541843</v>
      </c>
      <c r="L8" s="17">
        <f>LOOKUP($B8,Month!$A$5:$A$938,Month!L$5:L$938)</f>
        <v>3.0097015534753044</v>
      </c>
      <c r="M8" s="17">
        <f>LOOKUP($B8,Month!$A$5:$A$938,Month!S$5:S$938)</f>
        <v>90.88141588717734</v>
      </c>
      <c r="N8" s="17">
        <f>LOOKUP($B8,Month!$A$5:$A$938,Month!T$5:T$938)</f>
        <v>15.386265021125899</v>
      </c>
      <c r="O8" s="17">
        <f>LOOKUP($B8,Month!$A$5:$A$938,Month!W$5:W$938)</f>
        <v>186.26248365378288</v>
      </c>
      <c r="P8" s="17">
        <f>LOOKUP($B8,Month!$A$5:$A$938,Month!X$5:X$938)</f>
        <v>18.941947490215195</v>
      </c>
      <c r="Q8" s="17">
        <f>LOOKUP($B8,Month!$A$5:$A$938,Month!Y$5:Y$938)</f>
        <v>20.657147838537014</v>
      </c>
      <c r="R8" s="17">
        <f>LOOKUP($B8,Month!$A$5:$A$938,Month!AT$5:AT$938)</f>
        <v>4.063586198121631</v>
      </c>
      <c r="S8" s="17">
        <f>LOOKUP($B8,Month!$A$5:$A$938,Month!AU$5:AU$938)</f>
        <v>1.9098855131171664</v>
      </c>
      <c r="T8" s="17"/>
      <c r="U8" s="17"/>
    </row>
    <row r="9" spans="2:21" ht="12.75">
      <c r="B9" s="114">
        <f>LOOKUP($C9,Month!$B$5:$B$149,Month!A$5:A$149)</f>
        <v>31409</v>
      </c>
      <c r="C9" s="17">
        <f>'DadosReais&amp;Graficos'!B63</f>
        <v>10.8</v>
      </c>
      <c r="D9" s="22">
        <f>LOOKUP($B9,Month!$A$5:$A$938,Month!E$5:E$938)</f>
        <v>1111</v>
      </c>
      <c r="E9" s="17">
        <f>LOOKUP($B9,Month!$A$5:$A$938,Month!F$5:F$938)</f>
        <v>7.972544019273323</v>
      </c>
      <c r="F9" s="17">
        <f>LOOKUP($B9,Month!$A$5:$A$938,Month!G$5:G$938)</f>
        <v>28.248112286964993</v>
      </c>
      <c r="G9" s="17">
        <f>LOOKUP($B9,Month!$A$5:$A$938,Month!H$5:H$938)</f>
        <v>116.62425922843305</v>
      </c>
      <c r="H9" s="17">
        <f t="shared" si="0"/>
        <v>124.59680324770638</v>
      </c>
      <c r="I9" s="17">
        <f>LOOKUP($B9,Month!$A$5:$A$938,Month!J$5:J$938)</f>
        <v>152.84491553467137</v>
      </c>
      <c r="J9" s="17">
        <f>LOOKUP($B9,Month!$A$5:$A$938,Month!M$5:M$938)</f>
        <v>5.304581865817323</v>
      </c>
      <c r="K9" s="17">
        <f>LOOKUP($B9,Month!$A$5:$A$938,Month!K$5:K$938)</f>
        <v>4.0000190131213555</v>
      </c>
      <c r="L9" s="17">
        <f>LOOKUP($B9,Month!$A$5:$A$938,Month!L$5:L$938)</f>
        <v>3.1890327660040243</v>
      </c>
      <c r="M9" s="17">
        <f>LOOKUP($B9,Month!$A$5:$A$938,Month!S$5:S$938)</f>
        <v>104.9723305386436</v>
      </c>
      <c r="N9" s="17">
        <f>LOOKUP($B9,Month!$A$5:$A$938,Month!T$5:T$938)</f>
        <v>16.228006955273674</v>
      </c>
      <c r="O9" s="17">
        <f>LOOKUP($B9,Month!$A$5:$A$938,Month!W$5:W$938)</f>
        <v>216.5432008671665</v>
      </c>
      <c r="P9" s="17">
        <f>LOOKUP($B9,Month!$A$5:$A$938,Month!X$5:X$938)</f>
        <v>20.14355356903872</v>
      </c>
      <c r="Q9" s="17">
        <f>LOOKUP($B9,Month!$A$5:$A$938,Month!Y$5:Y$938)</f>
        <v>22.979168549344244</v>
      </c>
      <c r="R9" s="17">
        <f>LOOKUP($B9,Month!$A$5:$A$938,Month!AT$5:AT$938)</f>
        <v>2.7986182299757045</v>
      </c>
      <c r="S9" s="17">
        <f>LOOKUP($B9,Month!$A$5:$A$938,Month!AU$5:AU$938)</f>
        <v>1.315350568088581</v>
      </c>
      <c r="T9" s="17"/>
      <c r="U9" s="17"/>
    </row>
    <row r="10" spans="2:21" ht="12.75">
      <c r="B10" s="114">
        <f>LOOKUP($C10,Month!$B$5:$B$149,Month!A$5:A$149)</f>
        <v>31864</v>
      </c>
      <c r="C10" s="17">
        <f>'DadosReais&amp;Graficos'!B64</f>
        <v>12</v>
      </c>
      <c r="D10" s="22">
        <f>LOOKUP($B10,Month!$A$5:$A$938,Month!E$5:E$938)</f>
        <v>1111</v>
      </c>
      <c r="E10" s="17">
        <f>LOOKUP($B10,Month!$A$5:$A$938,Month!F$5:F$938)</f>
        <v>8.27359597195894</v>
      </c>
      <c r="F10" s="17">
        <f>LOOKUP($B10,Month!$A$5:$A$938,Month!G$5:G$938)</f>
        <v>31.284003860233202</v>
      </c>
      <c r="G10" s="17">
        <f>LOOKUP($B10,Month!$A$5:$A$938,Month!H$5:H$938)</f>
        <v>135.87406855213254</v>
      </c>
      <c r="H10" s="17">
        <f t="shared" si="0"/>
        <v>144.14766452409148</v>
      </c>
      <c r="I10" s="17">
        <f>LOOKUP($B10,Month!$A$5:$A$938,Month!J$5:J$938)</f>
        <v>175.43166838432467</v>
      </c>
      <c r="J10" s="17">
        <f>LOOKUP($B10,Month!$A$5:$A$938,Month!M$5:M$938)</f>
        <v>6.910747562424948</v>
      </c>
      <c r="K10" s="17">
        <f>LOOKUP($B10,Month!$A$5:$A$938,Month!K$5:K$938)</f>
        <v>4.000000811646537</v>
      </c>
      <c r="L10" s="17">
        <f>LOOKUP($B10,Month!$A$5:$A$938,Month!L$5:L$938)</f>
        <v>3.3094390603071275</v>
      </c>
      <c r="M10" s="17">
        <f>LOOKUP($B10,Month!$A$5:$A$938,Month!S$5:S$938)</f>
        <v>122.2988915860779</v>
      </c>
      <c r="N10" s="17">
        <f>LOOKUP($B10,Month!$A$5:$A$938,Month!T$5:T$938)</f>
        <v>17.170466814292585</v>
      </c>
      <c r="O10" s="17">
        <f>LOOKUP($B10,Month!$A$5:$A$938,Month!W$5:W$938)</f>
        <v>253.8203086147476</v>
      </c>
      <c r="P10" s="17">
        <f>LOOKUP($B10,Month!$A$5:$A$938,Month!X$5:X$938)</f>
        <v>21.151692384562264</v>
      </c>
      <c r="Q10" s="17">
        <f>LOOKUP($B10,Month!$A$5:$A$938,Month!Y$5:Y$938)</f>
        <v>25.725755948599176</v>
      </c>
      <c r="R10" s="17">
        <f>LOOKUP($B10,Month!$A$5:$A$938,Month!AT$5:AT$938)</f>
        <v>10.220946676797245</v>
      </c>
      <c r="S10" s="17">
        <f>LOOKUP($B10,Month!$A$5:$A$938,Month!AU$5:AU$938)</f>
        <v>4.803844938094705</v>
      </c>
      <c r="T10" s="17"/>
      <c r="U10" s="17"/>
    </row>
    <row r="11" spans="2:21" ht="12.75">
      <c r="B11" s="114">
        <f>LOOKUP($C11,Month!$B$5:$B$149,Month!A$5:A$149)</f>
        <v>32230</v>
      </c>
      <c r="C11" s="17">
        <f>'DadosReais&amp;Graficos'!B65</f>
        <v>13</v>
      </c>
      <c r="D11" s="22">
        <f>LOOKUP($B11,Month!$A$5:$A$938,Month!E$5:E$938)</f>
        <v>1111</v>
      </c>
      <c r="E11" s="17">
        <f>LOOKUP($B11,Month!$A$5:$A$938,Month!F$5:F$938)</f>
        <v>8.460626110649525</v>
      </c>
      <c r="F11" s="17">
        <f>LOOKUP($B11,Month!$A$5:$A$938,Month!G$5:G$938)</f>
        <v>33.32219988102278</v>
      </c>
      <c r="G11" s="17">
        <f>LOOKUP($B11,Month!$A$5:$A$938,Month!H$5:H$938)</f>
        <v>151.3972108370898</v>
      </c>
      <c r="H11" s="17">
        <f t="shared" si="0"/>
        <v>159.85783694773932</v>
      </c>
      <c r="I11" s="17">
        <f>LOOKUP($B11,Month!$A$5:$A$938,Month!J$5:J$938)</f>
        <v>193.18003682876213</v>
      </c>
      <c r="J11" s="17">
        <f>LOOKUP($B11,Month!$A$5:$A$938,Month!M$5:M$938)</f>
        <v>8.223284939027666</v>
      </c>
      <c r="K11" s="17">
        <f>LOOKUP($B11,Month!$A$5:$A$938,Month!K$5:K$938)</f>
        <v>4.000000050727909</v>
      </c>
      <c r="L11" s="17">
        <f>LOOKUP($B11,Month!$A$5:$A$938,Month!L$5:L$938)</f>
        <v>3.384250487178797</v>
      </c>
      <c r="M11" s="17">
        <f>LOOKUP($B11,Month!$A$5:$A$938,Month!S$5:S$938)</f>
        <v>136.2711168650673</v>
      </c>
      <c r="N11" s="17">
        <f>LOOKUP($B11,Month!$A$5:$A$938,Month!T$5:T$938)</f>
        <v>17.870747425278747</v>
      </c>
      <c r="O11" s="17">
        <f>LOOKUP($B11,Month!$A$5:$A$938,Month!W$5:W$938)</f>
        <v>283.742217808205</v>
      </c>
      <c r="P11" s="17">
        <f>LOOKUP($B11,Month!$A$5:$A$938,Month!X$5:X$938)</f>
        <v>21.82632444678495</v>
      </c>
      <c r="Q11" s="17">
        <f>LOOKUP($B11,Month!$A$5:$A$938,Month!Y$5:Y$938)</f>
        <v>27.86694586324986</v>
      </c>
      <c r="R11" s="17">
        <f>LOOKUP($B11,Month!$A$5:$A$938,Month!AT$5:AT$938)</f>
        <v>10.247717034896048</v>
      </c>
      <c r="S11" s="17">
        <f>LOOKUP($B11,Month!$A$5:$A$938,Month!AU$5:AU$938)</f>
        <v>4.816427006401143</v>
      </c>
      <c r="T11" s="17"/>
      <c r="U11" s="17"/>
    </row>
    <row r="12" spans="2:21" ht="12.75">
      <c r="B12" s="114">
        <f>LOOKUP($C12,Month!$B$5:$B$149,Month!A$5:A$149)</f>
        <v>32595</v>
      </c>
      <c r="C12" s="17">
        <f>'DadosReais&amp;Graficos'!B66</f>
        <v>14</v>
      </c>
      <c r="D12" s="22">
        <f>LOOKUP($B12,Month!$A$5:$A$938,Month!E$5:E$938)</f>
        <v>1111</v>
      </c>
      <c r="E12" s="17">
        <f>LOOKUP($B12,Month!$A$5:$A$938,Month!F$5:F$938)</f>
        <v>8.700170965474433</v>
      </c>
      <c r="F12" s="17">
        <f>LOOKUP($B12,Month!$A$5:$A$938,Month!G$5:G$938)</f>
        <v>36.188084152013396</v>
      </c>
      <c r="G12" s="17">
        <f>LOOKUP($B12,Month!$A$5:$A$938,Month!H$5:H$938)</f>
        <v>168.49538511874465</v>
      </c>
      <c r="H12" s="17">
        <f t="shared" si="0"/>
        <v>177.19555608421908</v>
      </c>
      <c r="I12" s="17">
        <f>LOOKUP($B12,Month!$A$5:$A$938,Month!J$5:J$938)</f>
        <v>213.38364023623248</v>
      </c>
      <c r="J12" s="17">
        <f>LOOKUP($B12,Month!$A$5:$A$938,Month!M$5:M$938)</f>
        <v>9.601625154777468</v>
      </c>
      <c r="K12" s="17">
        <f>LOOKUP($B12,Month!$A$5:$A$938,Month!K$5:K$938)</f>
        <v>4.000000002539787</v>
      </c>
      <c r="L12" s="17">
        <f>LOOKUP($B12,Month!$A$5:$A$938,Month!L$5:L$938)</f>
        <v>3.4800683883994314</v>
      </c>
      <c r="M12" s="17">
        <f>LOOKUP($B12,Month!$A$5:$A$938,Month!S$5:S$938)</f>
        <v>151.66101270814102</v>
      </c>
      <c r="N12" s="17">
        <f>LOOKUP($B12,Month!$A$5:$A$938,Month!T$5:T$938)</f>
        <v>18.591500687097835</v>
      </c>
      <c r="O12" s="17">
        <f>LOOKUP($B12,Month!$A$5:$A$938,Month!W$5:W$938)</f>
        <v>316.51390051819743</v>
      </c>
      <c r="P12" s="17">
        <f>LOOKUP($B12,Month!$A$5:$A$938,Month!X$5:X$938)</f>
        <v>22.60813575129976</v>
      </c>
      <c r="Q12" s="17">
        <f>LOOKUP($B12,Month!$A$5:$A$938,Month!Y$5:Y$938)</f>
        <v>30.160103968012738</v>
      </c>
      <c r="R12" s="17">
        <f>LOOKUP($B12,Month!$A$5:$A$938,Month!AT$5:AT$938)</f>
        <v>3.754852261514429</v>
      </c>
      <c r="S12" s="17">
        <f>LOOKUP($B12,Month!$A$5:$A$938,Month!AU$5:AU$938)</f>
        <v>1.7647805629117814</v>
      </c>
      <c r="T12" s="17"/>
      <c r="U12" s="17"/>
    </row>
    <row r="13" spans="2:21" ht="12.75">
      <c r="B13" s="114">
        <f>LOOKUP($C13,Month!$B$5:$B$149,Month!A$5:A$149)</f>
        <v>32960</v>
      </c>
      <c r="C13" s="17">
        <f>'DadosReais&amp;Graficos'!B67</f>
        <v>15</v>
      </c>
      <c r="D13" s="22">
        <f>LOOKUP($B13,Month!$A$5:$A$938,Month!E$5:E$938)</f>
        <v>1111</v>
      </c>
      <c r="E13" s="17">
        <f>LOOKUP($B13,Month!$A$5:$A$938,Month!F$5:F$938)</f>
        <v>8.55648493070836</v>
      </c>
      <c r="F13" s="17">
        <f>LOOKUP($B13,Month!$A$5:$A$938,Month!G$5:G$938)</f>
        <v>37.05421235707096</v>
      </c>
      <c r="G13" s="17">
        <f>LOOKUP($B13,Month!$A$5:$A$938,Month!H$5:H$938)</f>
        <v>181.36235122750597</v>
      </c>
      <c r="H13" s="17">
        <f t="shared" si="0"/>
        <v>189.91883615821433</v>
      </c>
      <c r="I13" s="17">
        <f>LOOKUP($B13,Month!$A$5:$A$938,Month!J$5:J$938)</f>
        <v>226.97304851528529</v>
      </c>
      <c r="J13" s="17">
        <f>LOOKUP($B13,Month!$A$5:$A$938,Month!M$5:M$938)</f>
        <v>10.94139954645379</v>
      </c>
      <c r="K13" s="17">
        <f>LOOKUP($B13,Month!$A$5:$A$938,Month!K$5:K$938)</f>
        <v>4.000000000101863</v>
      </c>
      <c r="L13" s="17">
        <f>LOOKUP($B13,Month!$A$5:$A$938,Month!L$5:L$938)</f>
        <v>3.4225939723705032</v>
      </c>
      <c r="M13" s="17">
        <f>LOOKUP($B13,Month!$A$5:$A$938,Month!S$5:S$938)</f>
        <v>163.24244034879027</v>
      </c>
      <c r="N13" s="17">
        <f>LOOKUP($B13,Month!$A$5:$A$938,Month!T$5:T$938)</f>
        <v>19.103988249653252</v>
      </c>
      <c r="O13" s="17">
        <f>LOOKUP($B13,Month!$A$5:$A$938,Month!W$5:W$938)</f>
        <v>341.2374702171824</v>
      </c>
      <c r="P13" s="17">
        <f>LOOKUP($B13,Month!$A$5:$A$938,Month!X$5:X$938)</f>
        <v>22.74916468114543</v>
      </c>
      <c r="Q13" s="17">
        <f>LOOKUP($B13,Month!$A$5:$A$938,Month!Y$5:Y$938)</f>
        <v>31.845789856376932</v>
      </c>
      <c r="R13" s="17">
        <f>LOOKUP($B13,Month!$A$5:$A$938,Month!AT$5:AT$938)</f>
        <v>9.965320562167953</v>
      </c>
      <c r="S13" s="17">
        <f>LOOKUP($B13,Month!$A$5:$A$938,Month!AU$5:AU$938)</f>
        <v>4.683700664218938</v>
      </c>
      <c r="T13" s="17"/>
      <c r="U13" s="17"/>
    </row>
    <row r="14" spans="2:21" ht="12.75">
      <c r="B14" s="114">
        <f>LOOKUP($C14,Month!$B$5:$B$149,Month!A$5:A$149)</f>
        <v>33235</v>
      </c>
      <c r="C14" s="17">
        <f>'DadosReais&amp;Graficos'!B68</f>
        <v>15.8</v>
      </c>
      <c r="D14" s="22">
        <f>LOOKUP($B14,Month!$A$5:$A$938,Month!E$5:E$938)</f>
        <v>1111</v>
      </c>
      <c r="E14" s="17">
        <f>LOOKUP($B14,Month!$A$5:$A$938,Month!F$5:F$938)</f>
        <v>8.364018841032477</v>
      </c>
      <c r="F14" s="17">
        <f>LOOKUP($B14,Month!$A$5:$A$938,Month!G$5:G$938)</f>
        <v>37.29177189165381</v>
      </c>
      <c r="G14" s="17">
        <f>LOOKUP($B14,Month!$A$5:$A$938,Month!H$5:H$938)</f>
        <v>190.22209438870019</v>
      </c>
      <c r="H14" s="17">
        <f t="shared" si="0"/>
        <v>198.58611322973266</v>
      </c>
      <c r="I14" s="17">
        <f>LOOKUP($B14,Month!$A$5:$A$938,Month!J$5:J$938)</f>
        <v>235.87788512138647</v>
      </c>
      <c r="J14" s="17">
        <f>LOOKUP($B14,Month!$A$5:$A$938,Month!M$5:M$938)</f>
        <v>11.947837111440984</v>
      </c>
      <c r="K14" s="17">
        <f>LOOKUP($B14,Month!$A$5:$A$938,Month!K$5:K$938)</f>
        <v>4.000000000007892</v>
      </c>
      <c r="L14" s="17">
        <f>LOOKUP($B14,Month!$A$5:$A$938,Month!L$5:L$938)</f>
        <v>3.3456075364195925</v>
      </c>
      <c r="M14" s="17">
        <f>LOOKUP($B14,Month!$A$5:$A$938,Month!S$5:S$938)</f>
        <v>171.21700665049522</v>
      </c>
      <c r="N14" s="17">
        <f>LOOKUP($B14,Month!$A$5:$A$938,Month!T$5:T$938)</f>
        <v>19.443670456357857</v>
      </c>
      <c r="O14" s="17">
        <f>LOOKUP($B14,Month!$A$5:$A$938,Month!W$5:W$938)</f>
        <v>358.2279907992046</v>
      </c>
      <c r="P14" s="17">
        <f>LOOKUP($B14,Month!$A$5:$A$938,Month!X$5:X$938)</f>
        <v>22.744634336457363</v>
      </c>
      <c r="Q14" s="17">
        <f>LOOKUP($B14,Month!$A$5:$A$938,Month!Y$5:Y$938)</f>
        <v>32.98833861724919</v>
      </c>
      <c r="R14" s="17">
        <f>LOOKUP($B14,Month!$A$5:$A$938,Month!AT$5:AT$938)</f>
        <v>1.8659834070402084</v>
      </c>
      <c r="S14" s="17">
        <f>LOOKUP($B14,Month!$A$5:$A$938,Month!AU$5:AU$938)</f>
        <v>0.8770122013088979</v>
      </c>
      <c r="T14" s="17"/>
      <c r="U14" s="17"/>
    </row>
    <row r="15" spans="2:19" ht="12.75">
      <c r="B15" s="114">
        <f>LOOKUP($C15,Month!$B$5:$B$149,Month!A$5:A$149)</f>
        <v>33631</v>
      </c>
      <c r="C15" s="17">
        <f>'DadosReais&amp;Graficos'!B69</f>
        <v>16.9</v>
      </c>
      <c r="D15" s="22">
        <f>LOOKUP($B15,Month!$A$5:$A$938,Month!E$5:E$938)</f>
        <v>1111</v>
      </c>
      <c r="E15" s="17">
        <f>LOOKUP($B15,Month!$A$5:$A$938,Month!F$5:F$938)</f>
        <v>8.188734277747997</v>
      </c>
      <c r="F15" s="17">
        <f>LOOKUP($B15,Month!$A$5:$A$938,Month!G$5:G$938)</f>
        <v>37.9652605311614</v>
      </c>
      <c r="G15" s="17">
        <f>LOOKUP($B15,Month!$A$5:$A$938,Month!H$5:H$938)</f>
        <v>204.0368573681119</v>
      </c>
      <c r="H15" s="17">
        <f t="shared" si="0"/>
        <v>212.22559164585988</v>
      </c>
      <c r="I15" s="17">
        <f>LOOKUP($B15,Month!$A$5:$A$938,Month!J$5:J$938)</f>
        <v>250.1908521770213</v>
      </c>
      <c r="J15" s="17">
        <f>LOOKUP($B15,Month!$A$5:$A$938,Month!M$5:M$938)</f>
        <v>13.377799661818782</v>
      </c>
      <c r="K15" s="17">
        <f>LOOKUP($B15,Month!$A$5:$A$938,Month!K$5:K$938)</f>
        <v>4.000000000000157</v>
      </c>
      <c r="L15" s="17">
        <f>LOOKUP($B15,Month!$A$5:$A$938,Month!L$5:L$938)</f>
        <v>3.275493711099328</v>
      </c>
      <c r="M15" s="17">
        <f>LOOKUP($B15,Month!$A$5:$A$938,Month!S$5:S$938)</f>
        <v>183.65153678497919</v>
      </c>
      <c r="N15" s="17">
        <f>LOOKUP($B15,Month!$A$5:$A$938,Month!T$5:T$938)</f>
        <v>19.953970672101406</v>
      </c>
      <c r="O15" s="17">
        <f>LOOKUP($B15,Month!$A$5:$A$938,Month!W$5:W$938)</f>
        <v>384.60683336024005</v>
      </c>
      <c r="P15" s="17">
        <f>LOOKUP($B15,Month!$A$5:$A$938,Month!X$5:X$938)</f>
        <v>22.847930694667674</v>
      </c>
      <c r="Q15" s="17">
        <f>LOOKUP($B15,Month!$A$5:$A$938,Month!Y$5:Y$938)</f>
        <v>34.74262265666722</v>
      </c>
      <c r="R15" s="17">
        <f>LOOKUP($B15,Month!$A$5:$A$938,Month!AT$5:AT$938)</f>
        <v>1.3817271716450603</v>
      </c>
      <c r="S15" s="17">
        <f>LOOKUP($B15,Month!$A$5:$A$938,Month!AU$5:AU$938)</f>
        <v>0.6494117706731783</v>
      </c>
    </row>
    <row r="16" spans="2:19" ht="12.75">
      <c r="B16" s="114">
        <f>LOOKUP($C16,Month!$B$5:$B$149,Month!A$5:A$149)</f>
        <v>33997</v>
      </c>
      <c r="C16" s="17">
        <f>'DadosReais&amp;Graficos'!B70</f>
        <v>17.9</v>
      </c>
      <c r="D16" s="22">
        <f>LOOKUP($B16,Month!$A$5:$A$938,Month!E$5:E$938)</f>
        <v>1111</v>
      </c>
      <c r="E16" s="17">
        <f>LOOKUP($B16,Month!$A$5:$A$938,Month!F$5:F$938)</f>
        <v>7.5539495991522045</v>
      </c>
      <c r="F16" s="17">
        <f>LOOKUP($B16,Month!$A$5:$A$938,Month!G$5:G$938)</f>
        <v>37.42191341059623</v>
      </c>
      <c r="G16" s="17">
        <f>LOOKUP($B16,Month!$A$5:$A$938,Month!H$5:H$938)</f>
        <v>210.72585916482487</v>
      </c>
      <c r="H16" s="17">
        <f t="shared" si="0"/>
        <v>218.2798087639771</v>
      </c>
      <c r="I16" s="17">
        <f>LOOKUP($B16,Month!$A$5:$A$938,Month!J$5:J$938)</f>
        <v>255.70172217457332</v>
      </c>
      <c r="J16" s="17">
        <f>LOOKUP($B16,Month!$A$5:$A$938,Month!M$5:M$938)</f>
        <v>14.613736763167749</v>
      </c>
      <c r="K16" s="17">
        <f>LOOKUP($B16,Month!$A$5:$A$938,Month!K$5:K$938)</f>
        <v>4.0000000000000036</v>
      </c>
      <c r="L16" s="17">
        <f>LOOKUP($B16,Month!$A$5:$A$938,Month!L$5:L$938)</f>
        <v>3.021579839660885</v>
      </c>
      <c r="M16" s="17">
        <f>LOOKUP($B16,Month!$A$5:$A$938,Month!S$5:S$938)</f>
        <v>189.67224047238963</v>
      </c>
      <c r="N16" s="17">
        <f>LOOKUP($B16,Month!$A$5:$A$938,Month!T$5:T$938)</f>
        <v>20.193241426588422</v>
      </c>
      <c r="O16" s="17">
        <f>LOOKUP($B16,Month!$A$5:$A$938,Month!W$5:W$938)</f>
        <v>397.4563374394288</v>
      </c>
      <c r="P16" s="17">
        <f>LOOKUP($B16,Month!$A$5:$A$938,Month!X$5:X$938)</f>
        <v>22.2872712582857</v>
      </c>
      <c r="Q16" s="17">
        <f>LOOKUP($B16,Month!$A$5:$A$938,Month!Y$5:Y$938)</f>
        <v>35.58082515654225</v>
      </c>
      <c r="R16" s="17">
        <f>LOOKUP($B16,Month!$A$5:$A$938,Month!AT$5:AT$938)</f>
        <v>1.4456680997354576</v>
      </c>
      <c r="S16" s="17">
        <f>LOOKUP($B16,Month!$A$5:$A$938,Month!AU$5:AU$938)</f>
        <v>0.679464006875665</v>
      </c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50"/>
  <sheetViews>
    <sheetView tabSelected="1" zoomScale="80" zoomScaleNormal="80" zoomScalePageLayoutView="0" workbookViewId="0" topLeftCell="A1">
      <pane xSplit="3" ySplit="4" topLeftCell="D59" activePane="bottomRight" state="frozen"/>
      <selection pane="topLeft" activeCell="A197" sqref="A197:IV197"/>
      <selection pane="topRight" activeCell="A197" sqref="A197:IV197"/>
      <selection pane="bottomLeft" activeCell="A197" sqref="A197:IV197"/>
      <selection pane="bottomRight" activeCell="L5" sqref="L5"/>
    </sheetView>
  </sheetViews>
  <sheetFormatPr defaultColWidth="8.8515625" defaultRowHeight="12.75"/>
  <cols>
    <col min="1" max="1" width="11.8515625" style="153" bestFit="1" customWidth="1"/>
    <col min="2" max="2" width="11.8515625" style="26" customWidth="1"/>
    <col min="3" max="3" width="8.7109375" style="24" bestFit="1" customWidth="1"/>
    <col min="4" max="4" width="9.8515625" style="30" customWidth="1"/>
    <col min="5" max="5" width="10.28125" style="25" customWidth="1"/>
    <col min="6" max="13" width="10.28125" style="27" customWidth="1"/>
    <col min="14" max="14" width="10.28125" style="49" customWidth="1"/>
    <col min="15" max="17" width="10.28125" style="25" customWidth="1"/>
    <col min="18" max="18" width="4.57421875" style="49" customWidth="1"/>
    <col min="19" max="25" width="10.28125" style="27" customWidth="1"/>
    <col min="26" max="26" width="4.00390625" style="41" customWidth="1"/>
    <col min="27" max="27" width="10.28125" style="24" customWidth="1"/>
    <col min="28" max="30" width="10.28125" style="23" customWidth="1"/>
    <col min="31" max="32" width="10.28125" style="24" customWidth="1"/>
    <col min="33" max="35" width="10.28125" style="27" customWidth="1"/>
    <col min="36" max="36" width="10.28125" style="24" customWidth="1"/>
    <col min="37" max="38" width="10.28125" style="38" customWidth="1"/>
    <col min="39" max="45" width="10.28125" style="27" customWidth="1"/>
    <col min="46" max="47" width="10.28125" style="25" customWidth="1"/>
    <col min="48" max="48" width="10.28125" style="49" customWidth="1"/>
    <col min="49" max="56" width="10.28125" style="25" customWidth="1"/>
    <col min="57" max="57" width="10.28125" style="49" customWidth="1"/>
    <col min="58" max="58" width="4.7109375" style="49" customWidth="1"/>
    <col min="59" max="59" width="11.8515625" style="26" bestFit="1" customWidth="1"/>
    <col min="60" max="60" width="11.8515625" style="26" customWidth="1"/>
    <col min="61" max="61" width="10.28125" style="27" customWidth="1"/>
    <col min="62" max="70" width="10.28125" style="25" customWidth="1"/>
    <col min="71" max="71" width="10.28125" style="49" customWidth="1"/>
    <col min="72" max="78" width="10.28125" style="25" customWidth="1"/>
    <col min="79" max="79" width="10.28125" style="27" customWidth="1"/>
    <col min="80" max="80" width="10.28125" style="139" customWidth="1"/>
    <col min="81" max="81" width="10.28125" style="41" customWidth="1"/>
    <col min="82" max="82" width="10.28125" style="27" customWidth="1"/>
    <col min="83" max="89" width="10.28125" style="25" customWidth="1"/>
    <col min="90" max="90" width="10.28125" style="49" customWidth="1"/>
    <col min="91" max="93" width="10.28125" style="25" customWidth="1"/>
    <col min="94" max="94" width="3.8515625" style="49" customWidth="1"/>
    <col min="95" max="97" width="10.28125" style="25" customWidth="1"/>
    <col min="98" max="98" width="11.140625" style="25" customWidth="1"/>
    <col min="99" max="99" width="10.28125" style="30" customWidth="1"/>
    <col min="100" max="100" width="10.28125" style="27" customWidth="1"/>
    <col min="101" max="104" width="10.28125" style="25" customWidth="1"/>
    <col min="105" max="106" width="10.28125" style="49" customWidth="1"/>
    <col min="107" max="110" width="10.28125" style="25" customWidth="1"/>
    <col min="111" max="120" width="10.7109375" style="25" customWidth="1"/>
    <col min="121" max="16384" width="8.8515625" style="25" customWidth="1"/>
  </cols>
  <sheetData>
    <row r="1" spans="1:106" s="44" customFormat="1" ht="24.75" customHeight="1" thickBot="1">
      <c r="A1" s="150"/>
      <c r="B1" s="69"/>
      <c r="C1" s="47"/>
      <c r="D1" s="167"/>
      <c r="E1" s="175" t="s">
        <v>237</v>
      </c>
      <c r="F1" s="176"/>
      <c r="G1" s="176"/>
      <c r="H1" s="176"/>
      <c r="I1" s="176"/>
      <c r="J1" s="176"/>
      <c r="K1" s="176"/>
      <c r="L1" s="176"/>
      <c r="M1" s="177"/>
      <c r="N1" s="70"/>
      <c r="O1" s="175" t="s">
        <v>242</v>
      </c>
      <c r="P1" s="176"/>
      <c r="Q1" s="177"/>
      <c r="R1" s="70"/>
      <c r="S1" s="175" t="s">
        <v>239</v>
      </c>
      <c r="T1" s="176"/>
      <c r="U1" s="176"/>
      <c r="V1" s="176"/>
      <c r="W1" s="176"/>
      <c r="X1" s="176"/>
      <c r="Y1" s="177"/>
      <c r="Z1" s="57"/>
      <c r="AA1" s="186" t="s">
        <v>236</v>
      </c>
      <c r="AB1" s="187"/>
      <c r="AC1" s="187"/>
      <c r="AD1" s="187"/>
      <c r="AE1" s="187"/>
      <c r="AF1" s="187"/>
      <c r="AG1" s="187"/>
      <c r="AH1" s="187"/>
      <c r="AI1" s="187"/>
      <c r="AJ1" s="188"/>
      <c r="AK1" s="46"/>
      <c r="AL1" s="46"/>
      <c r="AM1" s="183" t="s">
        <v>240</v>
      </c>
      <c r="AN1" s="184"/>
      <c r="AO1" s="184"/>
      <c r="AP1" s="184"/>
      <c r="AQ1" s="184"/>
      <c r="AR1" s="184"/>
      <c r="AS1" s="184"/>
      <c r="AT1" s="184"/>
      <c r="AU1" s="185"/>
      <c r="AV1" s="50"/>
      <c r="AW1" s="175" t="s">
        <v>241</v>
      </c>
      <c r="AX1" s="176"/>
      <c r="AY1" s="176"/>
      <c r="AZ1" s="176"/>
      <c r="BA1" s="176"/>
      <c r="BB1" s="176"/>
      <c r="BC1" s="176"/>
      <c r="BD1" s="177"/>
      <c r="BE1" s="57"/>
      <c r="BF1" s="57"/>
      <c r="BG1" s="181" t="s">
        <v>250</v>
      </c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50"/>
      <c r="BT1" s="175" t="s">
        <v>248</v>
      </c>
      <c r="BU1" s="176"/>
      <c r="BV1" s="176"/>
      <c r="BW1" s="176"/>
      <c r="BX1" s="176"/>
      <c r="BY1" s="176"/>
      <c r="BZ1" s="176"/>
      <c r="CA1" s="176"/>
      <c r="CB1" s="177"/>
      <c r="CC1" s="45"/>
      <c r="CD1" s="180" t="s">
        <v>249</v>
      </c>
      <c r="CE1" s="180"/>
      <c r="CF1" s="180"/>
      <c r="CG1" s="180"/>
      <c r="CH1" s="180"/>
      <c r="CI1" s="180"/>
      <c r="CJ1" s="180"/>
      <c r="CK1" s="180"/>
      <c r="CL1" s="47"/>
      <c r="CM1" s="175" t="s">
        <v>245</v>
      </c>
      <c r="CN1" s="176"/>
      <c r="CO1" s="177"/>
      <c r="CP1" s="47"/>
      <c r="CQ1" s="175" t="s">
        <v>244</v>
      </c>
      <c r="CR1" s="176"/>
      <c r="CS1" s="176"/>
      <c r="CT1" s="176"/>
      <c r="CU1" s="176"/>
      <c r="CV1" s="176"/>
      <c r="CW1" s="176"/>
      <c r="CX1" s="176"/>
      <c r="CY1" s="176"/>
      <c r="CZ1" s="177"/>
      <c r="DA1" s="47"/>
      <c r="DB1" s="47"/>
    </row>
    <row r="2" spans="1:106" s="33" customFormat="1" ht="36.75" thickBot="1">
      <c r="A2" s="151" t="s">
        <v>207</v>
      </c>
      <c r="B2" s="115"/>
      <c r="C2" s="68" t="s">
        <v>142</v>
      </c>
      <c r="D2" s="168"/>
      <c r="E2" s="63" t="s">
        <v>143</v>
      </c>
      <c r="F2" s="64" t="s">
        <v>148</v>
      </c>
      <c r="G2" s="64" t="s">
        <v>149</v>
      </c>
      <c r="H2" s="64" t="s">
        <v>153</v>
      </c>
      <c r="I2" s="64" t="s">
        <v>267</v>
      </c>
      <c r="J2" s="64" t="s">
        <v>185</v>
      </c>
      <c r="K2" s="64" t="s">
        <v>150</v>
      </c>
      <c r="L2" s="64" t="s">
        <v>144</v>
      </c>
      <c r="M2" s="80" t="s">
        <v>186</v>
      </c>
      <c r="N2" s="71"/>
      <c r="O2" s="79" t="s">
        <v>238</v>
      </c>
      <c r="P2" s="64" t="s">
        <v>183</v>
      </c>
      <c r="Q2" s="80" t="s">
        <v>184</v>
      </c>
      <c r="R2" s="42"/>
      <c r="S2" s="79" t="s">
        <v>154</v>
      </c>
      <c r="T2" s="64" t="s">
        <v>151</v>
      </c>
      <c r="U2" s="64" t="s">
        <v>152</v>
      </c>
      <c r="V2" s="64" t="s">
        <v>155</v>
      </c>
      <c r="W2" s="64" t="s">
        <v>214</v>
      </c>
      <c r="X2" s="64" t="s">
        <v>156</v>
      </c>
      <c r="Y2" s="80" t="s">
        <v>215</v>
      </c>
      <c r="Z2" s="42"/>
      <c r="AA2" s="82" t="s">
        <v>161</v>
      </c>
      <c r="AB2" s="83" t="s">
        <v>163</v>
      </c>
      <c r="AC2" s="83" t="s">
        <v>218</v>
      </c>
      <c r="AD2" s="83" t="s">
        <v>256</v>
      </c>
      <c r="AE2" s="65" t="s">
        <v>167</v>
      </c>
      <c r="AF2" s="65" t="s">
        <v>209</v>
      </c>
      <c r="AG2" s="64" t="s">
        <v>168</v>
      </c>
      <c r="AH2" s="64" t="s">
        <v>169</v>
      </c>
      <c r="AI2" s="64" t="s">
        <v>170</v>
      </c>
      <c r="AJ2" s="68" t="s">
        <v>171</v>
      </c>
      <c r="AK2" s="39"/>
      <c r="AL2" s="39"/>
      <c r="AM2" s="79" t="s">
        <v>203</v>
      </c>
      <c r="AN2" s="64" t="s">
        <v>254</v>
      </c>
      <c r="AO2" s="64" t="s">
        <v>211</v>
      </c>
      <c r="AP2" s="64" t="s">
        <v>311</v>
      </c>
      <c r="AQ2" s="64" t="s">
        <v>312</v>
      </c>
      <c r="AR2" s="64" t="s">
        <v>210</v>
      </c>
      <c r="AS2" s="64" t="s">
        <v>290</v>
      </c>
      <c r="AT2" s="64" t="s">
        <v>313</v>
      </c>
      <c r="AU2" s="80" t="s">
        <v>204</v>
      </c>
      <c r="AV2" s="42"/>
      <c r="AW2" s="79" t="s">
        <v>173</v>
      </c>
      <c r="AX2" s="64" t="s">
        <v>174</v>
      </c>
      <c r="AY2" s="64" t="s">
        <v>177</v>
      </c>
      <c r="AZ2" s="64" t="s">
        <v>178</v>
      </c>
      <c r="BA2" s="64" t="s">
        <v>179</v>
      </c>
      <c r="BB2" s="64" t="s">
        <v>180</v>
      </c>
      <c r="BC2" s="64" t="s">
        <v>181</v>
      </c>
      <c r="BD2" s="80" t="s">
        <v>182</v>
      </c>
      <c r="BE2" s="42"/>
      <c r="BF2" s="42"/>
      <c r="BG2" s="67" t="s">
        <v>147</v>
      </c>
      <c r="BH2" s="147" t="s">
        <v>298</v>
      </c>
      <c r="BI2" s="87" t="s">
        <v>162</v>
      </c>
      <c r="BJ2" s="84" t="s">
        <v>24</v>
      </c>
      <c r="BK2" s="84" t="s">
        <v>19</v>
      </c>
      <c r="BL2" s="84" t="s">
        <v>160</v>
      </c>
      <c r="BM2" s="84" t="s">
        <v>159</v>
      </c>
      <c r="BN2" s="84" t="s">
        <v>157</v>
      </c>
      <c r="BO2" s="84" t="s">
        <v>158</v>
      </c>
      <c r="BP2" s="84" t="s">
        <v>165</v>
      </c>
      <c r="BQ2" s="84" t="s">
        <v>166</v>
      </c>
      <c r="BR2" s="84" t="s">
        <v>164</v>
      </c>
      <c r="BS2" s="58"/>
      <c r="BT2" s="63" t="s">
        <v>243</v>
      </c>
      <c r="BU2" s="64" t="s">
        <v>191</v>
      </c>
      <c r="BV2" s="64" t="s">
        <v>247</v>
      </c>
      <c r="BW2" s="64" t="s">
        <v>199</v>
      </c>
      <c r="BX2" s="64" t="s">
        <v>246</v>
      </c>
      <c r="BY2" s="64" t="s">
        <v>200</v>
      </c>
      <c r="BZ2" s="64" t="s">
        <v>201</v>
      </c>
      <c r="CA2" s="64" t="s">
        <v>205</v>
      </c>
      <c r="CB2" s="138" t="s">
        <v>202</v>
      </c>
      <c r="CC2" s="42"/>
      <c r="CD2" s="79" t="s">
        <v>295</v>
      </c>
      <c r="CE2" s="64" t="s">
        <v>212</v>
      </c>
      <c r="CF2" s="137" t="s">
        <v>286</v>
      </c>
      <c r="CG2" s="137" t="s">
        <v>294</v>
      </c>
      <c r="CH2" s="64" t="s">
        <v>206</v>
      </c>
      <c r="CI2" s="64" t="s">
        <v>291</v>
      </c>
      <c r="CJ2" s="64" t="s">
        <v>145</v>
      </c>
      <c r="CK2" s="80" t="s">
        <v>292</v>
      </c>
      <c r="CL2" s="42"/>
      <c r="CP2" s="42"/>
      <c r="CQ2" s="85" t="s">
        <v>192</v>
      </c>
      <c r="CR2" s="84" t="s">
        <v>193</v>
      </c>
      <c r="CS2" s="84" t="s">
        <v>195</v>
      </c>
      <c r="CT2" s="84" t="s">
        <v>196</v>
      </c>
      <c r="CU2" s="86" t="s">
        <v>55</v>
      </c>
      <c r="CV2" s="87" t="s">
        <v>213</v>
      </c>
      <c r="CW2" s="84" t="s">
        <v>194</v>
      </c>
      <c r="CX2" s="84" t="s">
        <v>197</v>
      </c>
      <c r="CY2" s="84" t="s">
        <v>198</v>
      </c>
      <c r="CZ2" s="88" t="s">
        <v>243</v>
      </c>
      <c r="DA2" s="48"/>
      <c r="DB2" s="48"/>
    </row>
    <row r="3" spans="1:82" ht="12.75">
      <c r="A3" s="152">
        <f>'DadosReais&amp;Graficos'!DatePlant</f>
        <v>27484</v>
      </c>
      <c r="B3" s="60"/>
      <c r="C3" s="75" t="s">
        <v>146</v>
      </c>
      <c r="D3" s="169" t="s">
        <v>309</v>
      </c>
      <c r="E3" s="73" t="s">
        <v>229</v>
      </c>
      <c r="F3" s="66" t="s">
        <v>251</v>
      </c>
      <c r="G3" s="66" t="s">
        <v>230</v>
      </c>
      <c r="H3" s="66" t="s">
        <v>252</v>
      </c>
      <c r="I3" s="66" t="s">
        <v>287</v>
      </c>
      <c r="J3" s="66" t="s">
        <v>231</v>
      </c>
      <c r="K3" s="66" t="s">
        <v>150</v>
      </c>
      <c r="L3" s="66" t="s">
        <v>144</v>
      </c>
      <c r="M3" s="66" t="s">
        <v>232</v>
      </c>
      <c r="N3" s="71"/>
      <c r="S3" s="66" t="s">
        <v>253</v>
      </c>
      <c r="T3" s="66" t="s">
        <v>233</v>
      </c>
      <c r="U3" s="66" t="s">
        <v>234</v>
      </c>
      <c r="V3" s="81"/>
      <c r="W3" s="81"/>
      <c r="X3" s="81"/>
      <c r="Y3" s="81"/>
      <c r="Z3" s="43"/>
      <c r="AA3" s="34"/>
      <c r="AB3" s="37"/>
      <c r="AC3" s="37"/>
      <c r="AD3" s="37"/>
      <c r="AE3" s="34"/>
      <c r="AF3" s="34"/>
      <c r="AG3" s="36"/>
      <c r="AH3" s="36"/>
      <c r="AI3" s="36"/>
      <c r="AJ3" s="34"/>
      <c r="AK3" s="40"/>
      <c r="AL3" s="40"/>
      <c r="AM3" s="36"/>
      <c r="AN3" s="62" t="s">
        <v>255</v>
      </c>
      <c r="AO3" s="36"/>
      <c r="AP3" s="36"/>
      <c r="AQ3" s="36"/>
      <c r="AR3" s="36"/>
      <c r="AS3" s="36"/>
      <c r="BG3" s="74">
        <f>'DadosReais&amp;Graficos'!DatePlant</f>
        <v>27484</v>
      </c>
      <c r="BH3" s="30"/>
      <c r="BI3" s="51" t="s">
        <v>235</v>
      </c>
      <c r="BM3" s="61" t="s">
        <v>208</v>
      </c>
      <c r="BT3" s="35"/>
      <c r="CD3" s="36"/>
    </row>
    <row r="4" spans="1:93" ht="12.75">
      <c r="A4" s="149">
        <f>A3+C5*365-1</f>
        <v>29673</v>
      </c>
      <c r="B4" s="60">
        <f aca="true" t="shared" si="0" ref="B4:B13">ROUND(C4,2)</f>
        <v>0</v>
      </c>
      <c r="C4" s="77"/>
      <c r="D4" s="170" t="s">
        <v>310</v>
      </c>
      <c r="E4" s="59"/>
      <c r="F4" s="60"/>
      <c r="G4" s="60"/>
      <c r="H4" s="60"/>
      <c r="I4" s="60"/>
      <c r="J4" s="60"/>
      <c r="K4" s="60"/>
      <c r="L4" s="60"/>
      <c r="M4" s="60"/>
      <c r="N4" s="72"/>
      <c r="S4" s="36"/>
      <c r="T4" s="36"/>
      <c r="U4" s="36"/>
      <c r="V4" s="36"/>
      <c r="W4" s="36"/>
      <c r="X4" s="36"/>
      <c r="Y4" s="36"/>
      <c r="Z4" s="43"/>
      <c r="AA4" s="34"/>
      <c r="AB4" s="37"/>
      <c r="AC4" s="37"/>
      <c r="AD4" s="37"/>
      <c r="AE4" s="34"/>
      <c r="AF4" s="34"/>
      <c r="AG4" s="36"/>
      <c r="AH4" s="36"/>
      <c r="AI4" s="36"/>
      <c r="AJ4" s="34"/>
      <c r="AK4" s="40"/>
      <c r="AL4" s="40"/>
      <c r="AM4" s="36"/>
      <c r="AN4" s="36"/>
      <c r="AO4" s="36"/>
      <c r="AP4" s="36"/>
      <c r="AQ4" s="36"/>
      <c r="AR4" s="36"/>
      <c r="AS4" s="36"/>
      <c r="BG4" s="76"/>
      <c r="BH4" s="30"/>
      <c r="BT4" s="35"/>
      <c r="CD4" s="36"/>
      <c r="CM4" s="52" t="s">
        <v>207</v>
      </c>
      <c r="CN4" s="178" t="s">
        <v>216</v>
      </c>
      <c r="CO4" s="179"/>
    </row>
    <row r="5" spans="1:104" ht="12.75">
      <c r="A5" s="149">
        <f>'DadosReais&amp;Graficos'!IniMonth-1</f>
        <v>29676</v>
      </c>
      <c r="B5" s="60">
        <f>C5</f>
        <v>6</v>
      </c>
      <c r="C5" s="78">
        <f>'DadosReais&amp;Graficos'!IniAge</f>
        <v>6</v>
      </c>
      <c r="D5" s="171">
        <f>EXP(9.7)*(J5/E5)^-1.55</f>
        <v>1351081.5890449698</v>
      </c>
      <c r="E5" s="25">
        <f>'DadosReais&amp;Graficos'!Npl</f>
        <v>1111</v>
      </c>
      <c r="F5" s="27">
        <f>'DadosReais&amp;Graficos'!IniWf</f>
        <v>5.58</v>
      </c>
      <c r="G5" s="27">
        <f>'DadosReais&amp;Graficos'!IniWr</f>
        <v>12.81</v>
      </c>
      <c r="H5" s="27">
        <f>'DadosReais&amp;Graficos'!IniWs</f>
        <v>45.92</v>
      </c>
      <c r="I5" s="27">
        <f>F5+H5</f>
        <v>51.5</v>
      </c>
      <c r="J5" s="27">
        <f>SUM(F5:H5)</f>
        <v>64.31</v>
      </c>
      <c r="K5" s="24">
        <f>SLA1+(SLA0-SLA1)*EXP(-LN(2)*(C5/tSLA)^2)</f>
        <v>4.129171072343855</v>
      </c>
      <c r="L5" s="27">
        <f>0.1*F5*K5</f>
        <v>2.304077458367871</v>
      </c>
      <c r="M5" s="27">
        <v>0</v>
      </c>
      <c r="O5" s="25">
        <f>gammaFx*gammaF0/(gammaF0+(gammaFx-gammaF0)*EXP(-12*LN(1+gammaFx/gammaF0)*C5/tgammaF))</f>
        <v>0.012999999999997248</v>
      </c>
      <c r="P5" s="25">
        <f>O5*F5</f>
        <v>0.07253999999998464</v>
      </c>
      <c r="Q5" s="25">
        <f aca="true" t="shared" si="1" ref="Q5:Q36">Rttover*G5</f>
        <v>0.12810000000000002</v>
      </c>
      <c r="S5" s="27">
        <f>H5/E5*1000</f>
        <v>41.332133213321335</v>
      </c>
      <c r="T5" s="27">
        <f aca="true" t="shared" si="2" ref="T5:T36">(S5/StemConst)^(1/StemPower)</f>
        <v>11.499727296964691</v>
      </c>
      <c r="U5" s="27">
        <f aca="true" t="shared" si="3" ref="U5:U36">fracBB1+(fracBB0-fracBB1)*EXP(-LN(2)*(C5/tBB))</f>
        <v>0.225</v>
      </c>
      <c r="V5" s="27">
        <f aca="true" t="shared" si="4" ref="V5:V36">rhoMax+(rhoMin-rhoMax)*EXP(-LN(2)*(C5/tRho))</f>
        <v>0.45</v>
      </c>
      <c r="W5" s="27">
        <f aca="true" t="shared" si="5" ref="W5:W36">H5*(1-U5)/V5</f>
        <v>79.08444444444444</v>
      </c>
      <c r="X5" s="27">
        <f aca="true" t="shared" si="6" ref="X5:X36">W5/C5</f>
        <v>13.18074074074074</v>
      </c>
      <c r="Y5" s="27">
        <f aca="true" t="shared" si="7" ref="Y5:Y36">PI()/4*(T5/100)^2*E5</f>
        <v>11.539288290996396</v>
      </c>
      <c r="AA5" s="24">
        <f aca="true" t="shared" si="8" ref="AA5:AA36">IF(OR(BI5&lt;=Tmin,BI5&gt;=Tmax),0,(BI5-Tmin)/(Topt-Tmin)*((Tmax-BI5)/(Tmax-Topt))^((Tmax-Topt)/(Topt-Tmin)))</f>
        <v>0.9209397155710211</v>
      </c>
      <c r="AB5" s="23">
        <f aca="true" t="shared" si="9" ref="AB5:AB36">EXP(-CoeffCond*BR5)</f>
        <v>0.788109943165066</v>
      </c>
      <c r="AC5" s="23">
        <f>IF('DadosReais&amp;Graficos'!soilClass&gt;0,0.8-0.1*'DadosReais&amp;Graficos'!soilClass,IF('DadosReais&amp;Graficos'!soilClass&lt;0,SWconst0,999))</f>
        <v>0.6000000000000001</v>
      </c>
      <c r="AD5" s="23">
        <f>IF('DadosReais&amp;Graficos'!soilClass&gt;0,11-2*'DadosReais&amp;Graficos'!soilClass,SWpower0)</f>
        <v>7</v>
      </c>
      <c r="AE5" s="24">
        <f>1/(1+((1-CD5/'DadosReais&amp;Graficos'!MaxASW)/AC5)^AD5)</f>
        <v>1</v>
      </c>
      <c r="AF5" s="24">
        <f>'DadosReais&amp;Graficos'!FR0</f>
        <v>0.6</v>
      </c>
      <c r="AG5" s="27">
        <f aca="true" t="shared" si="10" ref="AG5:AG36">fN0+(1-fN0)*AF5</f>
        <v>1</v>
      </c>
      <c r="AH5" s="27">
        <f aca="true" t="shared" si="11" ref="AH5:AH36">1-kF*(BO5/30)</f>
        <v>1</v>
      </c>
      <c r="AI5" s="141">
        <f>(1/(1+((C5/MaxAge)/rAge)^nAge))</f>
        <v>0.9997454811145232</v>
      </c>
      <c r="AJ5" s="24">
        <f>MIN(AB5,AE5)*AI5</f>
        <v>0.7879093543006984</v>
      </c>
      <c r="AM5" s="27">
        <f>BM5*BH5</f>
        <v>505.1399803161621</v>
      </c>
      <c r="AN5" s="27">
        <f aca="true" t="shared" si="12" ref="AN5:AN36">IF(AND(fullCanAge&gt;0,C5&lt;fullCanAge),C5/fullCanAge,1)</f>
        <v>1</v>
      </c>
      <c r="AO5" s="141">
        <f>(1-(EXP(-k*L5)))</f>
        <v>0.6840081096531698</v>
      </c>
      <c r="AP5" s="27">
        <f>AM5*AO5*AN5</f>
        <v>345.51984304629747</v>
      </c>
      <c r="AQ5" s="24">
        <f>alpha*AG5*AA5*AH5*AJ5</f>
        <v>0.03990893591549876</v>
      </c>
      <c r="AR5" s="27">
        <f>gDM_mol*molPAR_MJ*AQ5</f>
        <v>2.202973262535531</v>
      </c>
      <c r="AS5" s="27">
        <f>CH5/(CB5+CE5)</f>
        <v>1</v>
      </c>
      <c r="AT5" s="25">
        <f>AR5*AP5/100*AS5</f>
        <v>7.611709759064666</v>
      </c>
      <c r="AU5" s="25">
        <f aca="true" t="shared" si="13" ref="AU5:AU36">AT5*Y</f>
        <v>3.577503586760393</v>
      </c>
      <c r="AW5" s="25">
        <f aca="true" t="shared" si="14" ref="AW5:AW36">m0+(1-m0)*AF5</f>
        <v>0.6</v>
      </c>
      <c r="AX5" s="25">
        <f>pfsConst*T5^pfsPower</f>
        <v>0.12020221489283714</v>
      </c>
      <c r="AY5" s="25">
        <f>pRx*pRn/(pRn+(pRx-pRn)*AJ5*AW5)</f>
        <v>0.23774732364081966</v>
      </c>
      <c r="AZ5" s="25">
        <f>(1-AY5)/(1+AX5)</f>
        <v>0.6804598903887191</v>
      </c>
      <c r="BA5" s="25">
        <f>1-AY5-AZ5</f>
        <v>0.08179278597046125</v>
      </c>
      <c r="BB5" s="25">
        <f aca="true" t="shared" si="15" ref="BB5:BB36">AU5*BA5</f>
        <v>0.29261398518045023</v>
      </c>
      <c r="BC5" s="25">
        <f aca="true" t="shared" si="16" ref="BC5:BC36">AU5*AY5</f>
        <v>0.8505419030677163</v>
      </c>
      <c r="BD5" s="25">
        <f aca="true" t="shared" si="17" ref="BD5:BD36">AU5*AZ5</f>
        <v>2.4343476985122265</v>
      </c>
      <c r="BG5" s="76">
        <f>'DadosReais&amp;Graficos'!IniMonth</f>
        <v>29677</v>
      </c>
      <c r="BH5" s="30">
        <f aca="true" t="shared" si="18" ref="BH5:BH36">IF((BG6-BG5)=29,28,(BG6-BG5))</f>
        <v>30</v>
      </c>
      <c r="BI5" s="27">
        <f>'PSP-1 Metdata'!D6</f>
        <v>12.850000381469727</v>
      </c>
      <c r="BJ5" s="28">
        <f>'PSP-1 Metdata'!E6</f>
        <v>17.700000762939453</v>
      </c>
      <c r="BK5" s="28">
        <f>'PSP-1 Metdata'!F6</f>
        <v>8</v>
      </c>
      <c r="BL5" s="28">
        <f>'PSP-1 Metdata'!G6</f>
        <v>78.24000244140626</v>
      </c>
      <c r="BM5" s="28">
        <f>'PSP-1 Metdata'!I6</f>
        <v>16.83799934387207</v>
      </c>
      <c r="BN5" s="28">
        <f>'PSP-1 Metdata'!J6</f>
        <v>11</v>
      </c>
      <c r="BO5" s="28">
        <f>'PSP-1 Metdata'!K6</f>
        <v>0</v>
      </c>
      <c r="BP5" s="25">
        <f>'PSP-1 Metdata'!L6</f>
        <v>20.251694228646116</v>
      </c>
      <c r="BQ5" s="25">
        <f>'PSP-1 Metdata'!M6</f>
        <v>10.726987145708597</v>
      </c>
      <c r="BR5" s="25">
        <f>'PSP-1 Metdata'!N6</f>
        <v>4.76235354146876</v>
      </c>
      <c r="BT5" s="25">
        <f>CZ5</f>
        <v>46978.19870062779</v>
      </c>
      <c r="BU5" s="25">
        <f aca="true" t="shared" si="19" ref="BU5:BU36">Qa+Qb*(BM5*10^6/BT5)</f>
        <v>196.73724935557487</v>
      </c>
      <c r="BV5" s="25">
        <f aca="true" t="shared" si="20" ref="BV5:BV36">BLcond</f>
        <v>0.2</v>
      </c>
      <c r="BW5" s="25">
        <f aca="true" t="shared" si="21" ref="BW5:BW36">rhoAir*lambda*(VPDconv*BR5)*BV5</f>
        <v>1748.8733762093232</v>
      </c>
      <c r="BX5" s="25">
        <f aca="true" t="shared" si="22" ref="BX5:BX36">IF(MaxCond*AJ5*MIN(1,L5/LAIgcx)=0,0.0001,MaxCond*AJ5*MIN(1,L5/LAIgcx))</f>
        <v>0.010903328423311856</v>
      </c>
      <c r="BY5" s="25">
        <f>(1+e_20+BV5/BX5)</f>
        <v>21.543022628979063</v>
      </c>
      <c r="BZ5" s="25">
        <f aca="true" t="shared" si="23" ref="BZ5:BZ36">(e_20*BU5+BW5)/BY5</f>
        <v>101.27155146078867</v>
      </c>
      <c r="CA5" s="27">
        <f aca="true" t="shared" si="24" ref="CA5:CA36">BZ5/lambda*BT5</f>
        <v>1.9339654744901558</v>
      </c>
      <c r="CB5" s="139">
        <f>CA5*BH5</f>
        <v>58.018964234704676</v>
      </c>
      <c r="CD5" s="27">
        <f>'DadosReais&amp;Graficos'!IniASW</f>
        <v>200</v>
      </c>
      <c r="CE5" s="25">
        <f aca="true" t="shared" si="25" ref="CE5:CE36">IF(LAImaxIntcptn&lt;=0,BL5*MaxIntcptn,BL5*MaxIntcptn*MIN(1,L5/LAImaxIntcptn))</f>
        <v>11.73600036621094</v>
      </c>
      <c r="CG5" s="27">
        <f aca="true" t="shared" si="26" ref="CG5:CG36">CD5+BL5+CF5+CK4</f>
        <v>278.24000244140626</v>
      </c>
      <c r="CH5" s="27">
        <f>MIN(CG5,CB5+CE5)</f>
        <v>69.75496460091561</v>
      </c>
      <c r="CI5" s="27">
        <f>MAX(CG5-CH5-'DadosReais&amp;Graficos'!MaxASW,0)</f>
        <v>8.485037840490634</v>
      </c>
      <c r="CJ5" s="27">
        <f>CG5-CH5-CI5</f>
        <v>200</v>
      </c>
      <c r="CK5" s="27">
        <f>poolFractn*Month!CI5</f>
        <v>0</v>
      </c>
      <c r="CM5" s="135">
        <v>1</v>
      </c>
      <c r="CN5" s="136">
        <v>31</v>
      </c>
      <c r="CO5" s="136">
        <f>-15+CN5</f>
        <v>16</v>
      </c>
      <c r="CQ5" s="25">
        <f>SIN(PI()*'DadosReais&amp;Graficos'!Lat/180)</f>
        <v>0.6293203910498374</v>
      </c>
      <c r="CR5" s="25">
        <f>COS(PI()*'DadosReais&amp;Graficos'!Lat/180)</f>
        <v>0.7771459614569709</v>
      </c>
      <c r="CS5" s="25">
        <f>YEAR(A5)</f>
        <v>1981</v>
      </c>
      <c r="CT5" s="29">
        <f>DATE(CS5,1,1)</f>
        <v>29587</v>
      </c>
      <c r="CU5" s="30">
        <f>MONTH(BG5)</f>
        <v>4</v>
      </c>
      <c r="CV5" s="27">
        <f aca="true" t="shared" si="27" ref="CV5:CV36">LOOKUP(CU5,CM$5:CM$16,CO$5:CO$16)</f>
        <v>105</v>
      </c>
      <c r="CW5" s="25">
        <f>0.4*SIN(0.0172*(CV5-80))</f>
        <v>0.16674832097168432</v>
      </c>
      <c r="CX5" s="25">
        <f aca="true" t="shared" si="28" ref="CX5:CX36">-CW5*CQ5/(CR5*SQRT(1-(CW5)^2))</f>
        <v>-0.13694746197546548</v>
      </c>
      <c r="CY5" s="25">
        <f>IF(CX5&gt;1,0,IF(CX5&lt;-1,1,ACOS(CX5)/PI()))</f>
        <v>0.5437291516276365</v>
      </c>
      <c r="CZ5" s="25">
        <f>CY5*86400</f>
        <v>46978.19870062779</v>
      </c>
    </row>
    <row r="6" spans="1:104" ht="12.75">
      <c r="A6" s="149">
        <f aca="true" t="shared" si="29" ref="A6:A37">EDATE(A5,1)</f>
        <v>29706</v>
      </c>
      <c r="B6" s="60">
        <f t="shared" si="0"/>
        <v>6.08</v>
      </c>
      <c r="C6" s="78">
        <f>C5+1/12</f>
        <v>6.083333333333333</v>
      </c>
      <c r="D6" s="171">
        <f aca="true" t="shared" si="30" ref="D6:D69">EXP(9.7)*(J6/E6)^-1.55</f>
        <v>1248048.4934427785</v>
      </c>
      <c r="E6" s="25">
        <f>'DadosReais&amp;Graficos'!Npl</f>
        <v>1111</v>
      </c>
      <c r="F6" s="27">
        <f>F5+BB5-P5</f>
        <v>5.8000739851804655</v>
      </c>
      <c r="G6" s="27">
        <f aca="true" t="shared" si="31" ref="G6:G37">G5+BC5-Q5</f>
        <v>13.532441903067717</v>
      </c>
      <c r="H6" s="27">
        <f aca="true" t="shared" si="32" ref="H6:H37">H5+BD5</f>
        <v>48.35434769851223</v>
      </c>
      <c r="I6" s="27">
        <f aca="true" t="shared" si="33" ref="I6:I69">F6+H6</f>
        <v>54.154421683692696</v>
      </c>
      <c r="J6" s="27">
        <f>SUM(F6:H6)</f>
        <v>67.68686358676041</v>
      </c>
      <c r="K6" s="24">
        <f aca="true" t="shared" si="34" ref="K5:K36">SLA1+(SLA0-SLA1)*EXP(-LN(2)*(C6/tSLA)^2)</f>
        <v>4.115522342820659</v>
      </c>
      <c r="L6" s="27">
        <f aca="true" t="shared" si="35" ref="L5:L36">0.1*F6*K6</f>
        <v>2.387033407602307</v>
      </c>
      <c r="M6" s="27">
        <f>M5+P5</f>
        <v>0.07253999999998464</v>
      </c>
      <c r="O6" s="25">
        <f aca="true" t="shared" si="36" ref="O6:O36">gammaFx*gammaF0/(gammaF0+(gammaFx-gammaF0)*EXP(-12*LN(1+gammaFx/gammaF0)*C6/tgammaF))</f>
        <v>0.012999999999998227</v>
      </c>
      <c r="P6" s="25">
        <f aca="true" t="shared" si="37" ref="P6:P36">O6*F6</f>
        <v>0.07540096180733577</v>
      </c>
      <c r="Q6" s="25">
        <f t="shared" si="1"/>
        <v>0.13532441903067718</v>
      </c>
      <c r="S6" s="27">
        <f>H6/E6*1000</f>
        <v>43.52326525518652</v>
      </c>
      <c r="T6" s="27">
        <f t="shared" si="2"/>
        <v>11.721340039421191</v>
      </c>
      <c r="U6" s="27">
        <f t="shared" si="3"/>
        <v>0.22286489558652045</v>
      </c>
      <c r="V6" s="27">
        <f t="shared" si="4"/>
        <v>0.45</v>
      </c>
      <c r="W6" s="27">
        <f t="shared" si="5"/>
        <v>83.50635788339777</v>
      </c>
      <c r="X6" s="27">
        <f t="shared" si="6"/>
        <v>13.727072528777716</v>
      </c>
      <c r="Y6" s="27">
        <f t="shared" si="7"/>
        <v>11.988323966090675</v>
      </c>
      <c r="AA6" s="24">
        <f t="shared" si="8"/>
        <v>0.9807271956970356</v>
      </c>
      <c r="AB6" s="23">
        <f t="shared" si="9"/>
        <v>0.7858770256547788</v>
      </c>
      <c r="AC6" s="23">
        <f>IF('DadosReais&amp;Graficos'!soilClass&gt;0,0.8-0.1*'DadosReais&amp;Graficos'!soilClass,IF('DadosReais&amp;Graficos'!soilClass&lt;0,SWconst0,999))</f>
        <v>0.6000000000000001</v>
      </c>
      <c r="AD6" s="23">
        <f>IF('DadosReais&amp;Graficos'!soilClass&gt;0,11-2*'DadosReais&amp;Graficos'!soilClass,SWpower0)</f>
        <v>7</v>
      </c>
      <c r="AE6" s="24">
        <f>1/(1+((1-CD6/'DadosReais&amp;Graficos'!MaxASW)/AC6)^AD6)</f>
        <v>1</v>
      </c>
      <c r="AF6" s="24">
        <f>AF5</f>
        <v>0.6</v>
      </c>
      <c r="AG6" s="27">
        <f t="shared" si="10"/>
        <v>1</v>
      </c>
      <c r="AH6" s="27">
        <f t="shared" si="11"/>
        <v>1</v>
      </c>
      <c r="AI6" s="27">
        <f aca="true" t="shared" si="38" ref="AI6:AI36">(1/(1+((C6/MaxAge)/rAge)^nAge))</f>
        <v>0.9997310477402485</v>
      </c>
      <c r="AJ6" s="24">
        <f aca="true" t="shared" si="39" ref="AJ6:AJ67">MIN(AB6,AE6)*AI6</f>
        <v>0.7856656622528421</v>
      </c>
      <c r="AM6" s="27">
        <f aca="true" t="shared" si="40" ref="AM6:AM69">BM6*BH6</f>
        <v>739.2800045013428</v>
      </c>
      <c r="AN6" s="27">
        <f t="shared" si="12"/>
        <v>1</v>
      </c>
      <c r="AO6" s="24">
        <f aca="true" t="shared" si="41" ref="AO6:AO36">(1-(EXP(-k*L6)))</f>
        <v>0.696846713028818</v>
      </c>
      <c r="AP6" s="27">
        <f>AM6*AO6*AN6</f>
        <v>515.1648411446904</v>
      </c>
      <c r="AQ6" s="27">
        <f>alpha*AG6*AA6*AH6*AJ6</f>
        <v>0.04237880249331763</v>
      </c>
      <c r="AR6" s="27">
        <f aca="true" t="shared" si="42" ref="AR6:AR36">gDM_mol*molPAR_MJ*AQ6</f>
        <v>2.339309897631133</v>
      </c>
      <c r="AS6" s="27">
        <f aca="true" t="shared" si="43" ref="AS6:AS69">CH6/(CB6+CE6)</f>
        <v>1</v>
      </c>
      <c r="AT6" s="25">
        <f aca="true" t="shared" si="44" ref="AT6:AT69">AR6*AP6/100*AS6</f>
        <v>12.051302118013446</v>
      </c>
      <c r="AU6" s="25">
        <f t="shared" si="13"/>
        <v>5.664111995466319</v>
      </c>
      <c r="AW6" s="25">
        <f t="shared" si="14"/>
        <v>0.6</v>
      </c>
      <c r="AX6" s="25">
        <f aca="true" t="shared" si="45" ref="AX6:AX36">pfsConst*T6^pfsPower</f>
        <v>0.11900849142255006</v>
      </c>
      <c r="AY6" s="25">
        <f aca="true" t="shared" si="46" ref="AY6:AY36">pRx*pRn/(pRn+(pRx-pRn)*AJ6*AW6)</f>
        <v>0.2381029563551834</v>
      </c>
      <c r="AZ6" s="25">
        <f>(1-AY6)/(1+AX6)</f>
        <v>0.6808679732861078</v>
      </c>
      <c r="BA6" s="25">
        <f>1-AY6-AZ6</f>
        <v>0.08102907035870877</v>
      </c>
      <c r="BB6" s="25">
        <f t="shared" si="15"/>
        <v>0.4589577294002467</v>
      </c>
      <c r="BC6" s="25">
        <f t="shared" si="16"/>
        <v>1.3486418112473877</v>
      </c>
      <c r="BD6" s="25">
        <f t="shared" si="17"/>
        <v>3.856512454818685</v>
      </c>
      <c r="BG6" s="76">
        <f aca="true" t="shared" si="47" ref="BG6:BG37">EDATE(BG5,1)</f>
        <v>29707</v>
      </c>
      <c r="BH6" s="30">
        <f t="shared" si="18"/>
        <v>31</v>
      </c>
      <c r="BI6" s="27">
        <f>'PSP-1 Metdata'!D7</f>
        <v>14.399999618530273</v>
      </c>
      <c r="BJ6" s="28">
        <f>'PSP-1 Metdata'!E7</f>
        <v>18.899999618530273</v>
      </c>
      <c r="BK6" s="28">
        <f>'PSP-1 Metdata'!F7</f>
        <v>9.899999618530273</v>
      </c>
      <c r="BL6" s="28">
        <f>'PSP-1 Metdata'!G7</f>
        <v>70.47999877929688</v>
      </c>
      <c r="BM6" s="28">
        <f>'PSP-1 Metdata'!I7</f>
        <v>23.847742080688477</v>
      </c>
      <c r="BN6" s="28">
        <f>'PSP-1 Metdata'!J7</f>
        <v>10</v>
      </c>
      <c r="BO6" s="28">
        <f>'PSP-1 Metdata'!K7</f>
        <v>0</v>
      </c>
      <c r="BP6" s="25">
        <f>'PSP-1 Metdata'!L7</f>
        <v>21.834892027836773</v>
      </c>
      <c r="BQ6" s="25">
        <f>'PSP-1 Metdata'!M7</f>
        <v>12.196693839701425</v>
      </c>
      <c r="BR6" s="25">
        <f>'PSP-1 Metdata'!N7</f>
        <v>4.819099094067674</v>
      </c>
      <c r="BT6" s="25">
        <f aca="true" t="shared" si="48" ref="BT6:BT69">CZ6</f>
        <v>51049.507507765746</v>
      </c>
      <c r="BU6" s="25">
        <f t="shared" si="19"/>
        <v>283.7194460034423</v>
      </c>
      <c r="BV6" s="25">
        <f t="shared" si="20"/>
        <v>0.2</v>
      </c>
      <c r="BW6" s="25">
        <f t="shared" si="21"/>
        <v>1769.7119773955594</v>
      </c>
      <c r="BX6" s="25">
        <f t="shared" si="22"/>
        <v>0.011263724822843995</v>
      </c>
      <c r="BY6" s="25">
        <f aca="true" t="shared" si="49" ref="BY6:BY36">(1+e_20+BV6/BX6)</f>
        <v>20.956115596359332</v>
      </c>
      <c r="BZ6" s="25">
        <f t="shared" si="23"/>
        <v>114.23370650899729</v>
      </c>
      <c r="CA6" s="27">
        <f t="shared" si="24"/>
        <v>2.3705587227930756</v>
      </c>
      <c r="CB6" s="139">
        <f aca="true" t="shared" si="50" ref="CB6:CB69">CA6*BH6</f>
        <v>73.48732040658534</v>
      </c>
      <c r="CD6" s="27">
        <f>IF(CJ5&lt;'DadosReais&amp;Graficos'!MinASW,'DadosReais&amp;Graficos'!MinASW,IF(CJ5&gt;'DadosReais&amp;Graficos'!MaxASW,'DadosReais&amp;Graficos'!MaxASW,CJ5))</f>
        <v>200</v>
      </c>
      <c r="CE6" s="25">
        <f t="shared" si="25"/>
        <v>10.57199981689453</v>
      </c>
      <c r="CG6" s="27">
        <f t="shared" si="26"/>
        <v>270.47999877929686</v>
      </c>
      <c r="CH6" s="27">
        <f aca="true" t="shared" si="51" ref="CH6:CH69">MIN(CG6,CB6+CE6)</f>
        <v>84.05932022347987</v>
      </c>
      <c r="CI6" s="27">
        <f>MAX(CG6-CH6-'DadosReais&amp;Graficos'!MaxASW,0)</f>
        <v>0</v>
      </c>
      <c r="CJ6" s="27">
        <f>CG6-CH6-CI6</f>
        <v>186.420678555817</v>
      </c>
      <c r="CK6" s="27">
        <f>poolFractn*Month!CI6</f>
        <v>0</v>
      </c>
      <c r="CM6" s="53">
        <v>2</v>
      </c>
      <c r="CN6" s="55">
        <v>28</v>
      </c>
      <c r="CO6" s="55">
        <f>CO5+CN6</f>
        <v>44</v>
      </c>
      <c r="CQ6" s="25">
        <f>SIN(PI()*'DadosReais&amp;Graficos'!Lat/180)</f>
        <v>0.6293203910498374</v>
      </c>
      <c r="CR6" s="25">
        <f>COS(PI()*'DadosReais&amp;Graficos'!Lat/180)</f>
        <v>0.7771459614569709</v>
      </c>
      <c r="CS6" s="25">
        <f>YEAR(A6)</f>
        <v>1981</v>
      </c>
      <c r="CT6" s="29">
        <f>DATE(CS6,1,1)</f>
        <v>29587</v>
      </c>
      <c r="CU6" s="30">
        <f aca="true" t="shared" si="52" ref="CU6:CU69">MONTH(BG6)</f>
        <v>5</v>
      </c>
      <c r="CV6" s="27">
        <f t="shared" si="27"/>
        <v>136</v>
      </c>
      <c r="CW6" s="25">
        <f>0.4*SIN(0.0172*(CV6-80))</f>
        <v>0.328409053946799</v>
      </c>
      <c r="CX6" s="25">
        <f t="shared" si="28"/>
        <v>-0.2815567874772962</v>
      </c>
      <c r="CY6" s="25">
        <f>IF(CX6&gt;1,0,IF(CX6&lt;-1,1,ACOS(CX6)/PI()))</f>
        <v>0.5908507813398813</v>
      </c>
      <c r="CZ6" s="25">
        <f>CY6*86400</f>
        <v>51049.507507765746</v>
      </c>
    </row>
    <row r="7" spans="1:104" ht="12.75">
      <c r="A7" s="149">
        <f t="shared" si="29"/>
        <v>29736</v>
      </c>
      <c r="B7" s="60">
        <f t="shared" si="0"/>
        <v>6.17</v>
      </c>
      <c r="C7" s="78">
        <f aca="true" t="shared" si="53" ref="C7:C68">C6+1/12</f>
        <v>6.166666666666666</v>
      </c>
      <c r="D7" s="171">
        <f t="shared" si="30"/>
        <v>1106804.1560542858</v>
      </c>
      <c r="E7" s="30">
        <f>MIN(D6,E6)</f>
        <v>1111</v>
      </c>
      <c r="F7" s="27">
        <f aca="true" t="shared" si="54" ref="F7:F37">F6+BB6-P6</f>
        <v>6.183630752773376</v>
      </c>
      <c r="G7" s="27">
        <f t="shared" si="31"/>
        <v>14.745759295284428</v>
      </c>
      <c r="H7" s="27">
        <f t="shared" si="32"/>
        <v>52.21086015333091</v>
      </c>
      <c r="I7" s="27">
        <f t="shared" si="33"/>
        <v>58.39449090610429</v>
      </c>
      <c r="J7" s="27">
        <f aca="true" t="shared" si="55" ref="J7:J67">SUM(F7:H7)</f>
        <v>73.14025020138871</v>
      </c>
      <c r="K7" s="24">
        <f t="shared" si="34"/>
        <v>4.103156774761686</v>
      </c>
      <c r="L7" s="27">
        <f t="shared" si="35"/>
        <v>2.5372406415866786</v>
      </c>
      <c r="M7" s="27">
        <f aca="true" t="shared" si="56" ref="M7:M37">M6+P6</f>
        <v>0.14794096180732041</v>
      </c>
      <c r="O7" s="25">
        <f t="shared" si="36"/>
        <v>0.012999999999998858</v>
      </c>
      <c r="P7" s="25">
        <f t="shared" si="37"/>
        <v>0.08038719978604683</v>
      </c>
      <c r="Q7" s="25">
        <f t="shared" si="1"/>
        <v>0.14745759295284427</v>
      </c>
      <c r="S7" s="27">
        <f aca="true" t="shared" si="57" ref="S7:S70">H7/E7*1000</f>
        <v>46.99447358535635</v>
      </c>
      <c r="T7" s="27">
        <f t="shared" si="2"/>
        <v>12.058455869212976</v>
      </c>
      <c r="U7" s="27">
        <f t="shared" si="3"/>
        <v>0.22079057345112704</v>
      </c>
      <c r="V7" s="27">
        <f t="shared" si="4"/>
        <v>0.45</v>
      </c>
      <c r="W7" s="27">
        <f t="shared" si="5"/>
        <v>90.40709866600085</v>
      </c>
      <c r="X7" s="27">
        <f t="shared" si="6"/>
        <v>14.660610594486625</v>
      </c>
      <c r="Y7" s="27">
        <f t="shared" si="7"/>
        <v>12.687829587933663</v>
      </c>
      <c r="AA7" s="24">
        <f t="shared" si="8"/>
        <v>0.9060282436692415</v>
      </c>
      <c r="AB7" s="23">
        <f t="shared" si="9"/>
        <v>0.6419663700912516</v>
      </c>
      <c r="AC7" s="23">
        <f>IF('DadosReais&amp;Graficos'!soilClass&gt;0,0.8-0.1*'DadosReais&amp;Graficos'!soilClass,IF('DadosReais&amp;Graficos'!soilClass&lt;0,SWconst0,999))</f>
        <v>0.6000000000000001</v>
      </c>
      <c r="AD7" s="23">
        <f>IF('DadosReais&amp;Graficos'!soilClass&gt;0,11-2*'DadosReais&amp;Graficos'!soilClass,SWpower0)</f>
        <v>7</v>
      </c>
      <c r="AE7" s="24">
        <f>1/(1+((1-CD7/'DadosReais&amp;Graficos'!MaxASW)/AC7)^AD7)</f>
        <v>0.999999762382919</v>
      </c>
      <c r="AF7" s="24">
        <f aca="true" t="shared" si="58" ref="AF7:AF67">AF6</f>
        <v>0.6</v>
      </c>
      <c r="AG7" s="27">
        <f t="shared" si="10"/>
        <v>1</v>
      </c>
      <c r="AH7" s="27">
        <f t="shared" si="11"/>
        <v>1</v>
      </c>
      <c r="AI7" s="27">
        <f t="shared" si="38"/>
        <v>0.9997160093098554</v>
      </c>
      <c r="AJ7" s="24">
        <f>MIN(AB7,AE7)*AI7</f>
        <v>0.6417840576187597</v>
      </c>
      <c r="AM7" s="27">
        <f t="shared" si="40"/>
        <v>766.929988861084</v>
      </c>
      <c r="AN7" s="27">
        <f t="shared" si="12"/>
        <v>1</v>
      </c>
      <c r="AO7" s="27">
        <f t="shared" si="41"/>
        <v>0.7187806532659535</v>
      </c>
      <c r="AP7" s="27">
        <f aca="true" t="shared" si="59" ref="AP7:AP67">AM7*AO7*AN7</f>
        <v>551.2544384028204</v>
      </c>
      <c r="AQ7" s="27">
        <f aca="true" t="shared" si="60" ref="AQ7:AQ36">alpha*AG7*AA7*AH7*AJ7</f>
        <v>0.03198109653965842</v>
      </c>
      <c r="AR7" s="27">
        <f t="shared" si="42"/>
        <v>1.7653565289891449</v>
      </c>
      <c r="AS7" s="27">
        <f t="shared" si="43"/>
        <v>1</v>
      </c>
      <c r="AT7" s="25">
        <f t="shared" si="44"/>
        <v>9.731606219686633</v>
      </c>
      <c r="AU7" s="25">
        <f t="shared" si="13"/>
        <v>4.573854923252717</v>
      </c>
      <c r="AW7" s="25">
        <f t="shared" si="14"/>
        <v>0.6</v>
      </c>
      <c r="AX7" s="25">
        <f t="shared" si="45"/>
        <v>0.11725705831990503</v>
      </c>
      <c r="AY7" s="25">
        <f t="shared" si="46"/>
        <v>0.26336613686276866</v>
      </c>
      <c r="AZ7" s="25">
        <f aca="true" t="shared" si="61" ref="AZ7:AZ67">(1-AY7)/(1+AX7)</f>
        <v>0.6593235259976405</v>
      </c>
      <c r="BA7" s="25">
        <f aca="true" t="shared" si="62" ref="BA7:BA67">1-AY7-AZ7</f>
        <v>0.07731033713959079</v>
      </c>
      <c r="BB7" s="25">
        <f t="shared" si="15"/>
        <v>0.3536062661442447</v>
      </c>
      <c r="BC7" s="25">
        <f t="shared" si="16"/>
        <v>1.2045985017078233</v>
      </c>
      <c r="BD7" s="25">
        <f t="shared" si="17"/>
        <v>3.0156501554006487</v>
      </c>
      <c r="BG7" s="76">
        <f t="shared" si="47"/>
        <v>29738</v>
      </c>
      <c r="BH7" s="30">
        <f t="shared" si="18"/>
        <v>30</v>
      </c>
      <c r="BI7" s="27">
        <f>'PSP-1 Metdata'!D8</f>
        <v>19.949999809265137</v>
      </c>
      <c r="BJ7" s="28">
        <f>'PSP-1 Metdata'!E8</f>
        <v>26</v>
      </c>
      <c r="BK7" s="28">
        <f>'PSP-1 Metdata'!F8</f>
        <v>13.899999618530273</v>
      </c>
      <c r="BL7" s="28">
        <f>'PSP-1 Metdata'!G8</f>
        <v>15.439999389648438</v>
      </c>
      <c r="BM7" s="28">
        <f>'PSP-1 Metdata'!I8</f>
        <v>25.564332962036133</v>
      </c>
      <c r="BN7" s="28">
        <f>'PSP-1 Metdata'!J8</f>
        <v>3</v>
      </c>
      <c r="BO7" s="28">
        <f>'PSP-1 Metdata'!K8</f>
        <v>0</v>
      </c>
      <c r="BP7" s="25">
        <f>'PSP-1 Metdata'!L8</f>
        <v>33.6099785805441</v>
      </c>
      <c r="BQ7" s="25">
        <f>'PSP-1 Metdata'!M8</f>
        <v>15.881204192558155</v>
      </c>
      <c r="BR7" s="25">
        <f>'PSP-1 Metdata'!N8</f>
        <v>8.864387193992973</v>
      </c>
      <c r="BT7" s="25">
        <f t="shared" si="48"/>
        <v>53082.57808162483</v>
      </c>
      <c r="BU7" s="25">
        <f t="shared" si="19"/>
        <v>295.27643360088473</v>
      </c>
      <c r="BV7" s="25">
        <f t="shared" si="20"/>
        <v>0.2</v>
      </c>
      <c r="BW7" s="25">
        <f t="shared" si="21"/>
        <v>3255.258271985407</v>
      </c>
      <c r="BX7" s="25">
        <f t="shared" si="22"/>
        <v>0.009779943508184527</v>
      </c>
      <c r="BY7" s="25">
        <f t="shared" si="49"/>
        <v>23.650015875104625</v>
      </c>
      <c r="BZ7" s="25">
        <f t="shared" si="23"/>
        <v>165.1105202858592</v>
      </c>
      <c r="CA7" s="27">
        <f t="shared" si="24"/>
        <v>3.562801660638952</v>
      </c>
      <c r="CB7" s="139">
        <f t="shared" si="50"/>
        <v>106.88404981916855</v>
      </c>
      <c r="CD7" s="27">
        <f>IF(CJ6&lt;'DadosReais&amp;Graficos'!MinASW,'DadosReais&amp;Graficos'!MinASW,IF(CJ6&gt;'DadosReais&amp;Graficos'!MaxASW,'DadosReais&amp;Graficos'!MaxASW,CJ6))</f>
        <v>186.420678555817</v>
      </c>
      <c r="CE7" s="25">
        <f t="shared" si="25"/>
        <v>2.3159999084472656</v>
      </c>
      <c r="CG7" s="27">
        <f t="shared" si="26"/>
        <v>201.86067794546545</v>
      </c>
      <c r="CH7" s="27">
        <f t="shared" si="51"/>
        <v>109.20004972761582</v>
      </c>
      <c r="CI7" s="27">
        <f>MAX(CG7-CH7-'DadosReais&amp;Graficos'!MaxASW,0)</f>
        <v>0</v>
      </c>
      <c r="CJ7" s="27">
        <f aca="true" t="shared" si="63" ref="CJ7:CJ69">CG7-CH7-CI7</f>
        <v>92.66062821784963</v>
      </c>
      <c r="CK7" s="27">
        <f>poolFractn*Month!CI7</f>
        <v>0</v>
      </c>
      <c r="CM7" s="53">
        <v>3</v>
      </c>
      <c r="CN7" s="55">
        <v>31</v>
      </c>
      <c r="CO7" s="55">
        <f aca="true" t="shared" si="64" ref="CO7:CO16">CO6+CN7</f>
        <v>75</v>
      </c>
      <c r="CQ7" s="25">
        <f>SIN(PI()*'DadosReais&amp;Graficos'!Lat/180)</f>
        <v>0.6293203910498374</v>
      </c>
      <c r="CR7" s="25">
        <f>COS(PI()*'DadosReais&amp;Graficos'!Lat/180)</f>
        <v>0.7771459614569709</v>
      </c>
      <c r="CS7" s="25">
        <f aca="true" t="shared" si="65" ref="CS7:CS67">YEAR(A7)</f>
        <v>1981</v>
      </c>
      <c r="CT7" s="29">
        <f aca="true" t="shared" si="66" ref="CT7:CT70">DATE(CS7,1,1)</f>
        <v>29587</v>
      </c>
      <c r="CU7" s="30">
        <f t="shared" si="52"/>
        <v>6</v>
      </c>
      <c r="CV7" s="27">
        <f t="shared" si="27"/>
        <v>166</v>
      </c>
      <c r="CW7" s="25">
        <f aca="true" t="shared" si="67" ref="CW7:CW70">0.4*SIN(0.0172*(CV7-80))</f>
        <v>0.3983231954255811</v>
      </c>
      <c r="CX7" s="25">
        <f t="shared" si="28"/>
        <v>-0.3516571006926921</v>
      </c>
      <c r="CY7" s="25">
        <f aca="true" t="shared" si="68" ref="CY7:CY70">IF(CX7&gt;1,0,IF(CX7&lt;-1,1,ACOS(CX7)/PI()))</f>
        <v>0.6143816907595466</v>
      </c>
      <c r="CZ7" s="25">
        <f aca="true" t="shared" si="69" ref="CZ7:CZ70">CY7*86400</f>
        <v>53082.57808162483</v>
      </c>
    </row>
    <row r="8" spans="1:104" ht="12.75">
      <c r="A8" s="149">
        <f t="shared" si="29"/>
        <v>29767</v>
      </c>
      <c r="B8" s="60">
        <f t="shared" si="0"/>
        <v>6.25</v>
      </c>
      <c r="C8" s="78">
        <f t="shared" si="53"/>
        <v>6.249999999999999</v>
      </c>
      <c r="D8" s="171">
        <f t="shared" si="30"/>
        <v>1012080.3170030384</v>
      </c>
      <c r="E8" s="30">
        <f aca="true" t="shared" si="70" ref="E8:E71">MIN(D7,E7)</f>
        <v>1111</v>
      </c>
      <c r="F8" s="27">
        <f t="shared" si="54"/>
        <v>6.456849819131573</v>
      </c>
      <c r="G8" s="27">
        <f t="shared" si="31"/>
        <v>15.802900204039407</v>
      </c>
      <c r="H8" s="27">
        <f t="shared" si="32"/>
        <v>55.22651030873156</v>
      </c>
      <c r="I8" s="27">
        <f t="shared" si="33"/>
        <v>61.68336012786314</v>
      </c>
      <c r="J8" s="27">
        <f t="shared" si="55"/>
        <v>77.48626033190254</v>
      </c>
      <c r="K8" s="24">
        <f t="shared" si="34"/>
        <v>4.091973045418375</v>
      </c>
      <c r="L8" s="27">
        <f t="shared" si="35"/>
        <v>2.642125541820091</v>
      </c>
      <c r="M8" s="27">
        <f t="shared" si="56"/>
        <v>0.22832816159336725</v>
      </c>
      <c r="O8" s="25">
        <f t="shared" si="36"/>
        <v>0.012999999999999264</v>
      </c>
      <c r="P8" s="25">
        <f t="shared" si="37"/>
        <v>0.0839390476487057</v>
      </c>
      <c r="Q8" s="25">
        <f t="shared" si="1"/>
        <v>0.15802900204039408</v>
      </c>
      <c r="S8" s="27">
        <f t="shared" si="57"/>
        <v>49.7088301608745</v>
      </c>
      <c r="T8" s="27">
        <f t="shared" si="2"/>
        <v>12.311277946603598</v>
      </c>
      <c r="U8" s="27">
        <f t="shared" si="3"/>
        <v>0.21877530324035036</v>
      </c>
      <c r="V8" s="27">
        <f t="shared" si="4"/>
        <v>0.45</v>
      </c>
      <c r="W8" s="27">
        <f t="shared" si="5"/>
        <v>95.87625282007217</v>
      </c>
      <c r="X8" s="27">
        <f t="shared" si="6"/>
        <v>15.34020045121155</v>
      </c>
      <c r="Y8" s="27">
        <f t="shared" si="7"/>
        <v>13.225442537827448</v>
      </c>
      <c r="AA8" s="24">
        <f t="shared" si="8"/>
        <v>0.8994137616280014</v>
      </c>
      <c r="AB8" s="23">
        <f t="shared" si="9"/>
        <v>0.6086625218035636</v>
      </c>
      <c r="AC8" s="23">
        <f>IF('DadosReais&amp;Graficos'!soilClass&gt;0,0.8-0.1*'DadosReais&amp;Graficos'!soilClass,IF('DadosReais&amp;Graficos'!soilClass&lt;0,SWconst0,999))</f>
        <v>0.6000000000000001</v>
      </c>
      <c r="AD8" s="23">
        <f>IF('DadosReais&amp;Graficos'!soilClass&gt;0,11-2*'DadosReais&amp;Graficos'!soilClass,SWpower0)</f>
        <v>7</v>
      </c>
      <c r="AE8" s="24">
        <f>1/(1+((1-CD8/'DadosReais&amp;Graficos'!MaxASW)/AC8)^AD8)</f>
        <v>0.6857821767203196</v>
      </c>
      <c r="AF8" s="24">
        <f t="shared" si="58"/>
        <v>0.6</v>
      </c>
      <c r="AG8" s="27">
        <f t="shared" si="10"/>
        <v>1</v>
      </c>
      <c r="AH8" s="27">
        <f t="shared" si="11"/>
        <v>1</v>
      </c>
      <c r="AI8" s="27">
        <f t="shared" si="38"/>
        <v>0.9997003491771109</v>
      </c>
      <c r="AJ8" s="24">
        <f t="shared" si="39"/>
        <v>0.6084801355780435</v>
      </c>
      <c r="AM8" s="27">
        <f t="shared" si="40"/>
        <v>871.5100040435791</v>
      </c>
      <c r="AN8" s="27">
        <f t="shared" si="12"/>
        <v>1</v>
      </c>
      <c r="AO8" s="27">
        <f t="shared" si="41"/>
        <v>0.7331484508532964</v>
      </c>
      <c r="AP8" s="27">
        <f t="shared" si="59"/>
        <v>638.9462093677001</v>
      </c>
      <c r="AQ8" s="27">
        <f t="shared" si="60"/>
        <v>0.03010014741888904</v>
      </c>
      <c r="AR8" s="141">
        <f t="shared" si="42"/>
        <v>1.661528137522675</v>
      </c>
      <c r="AS8" s="27">
        <f>CH8/(CB8+CE8)</f>
        <v>0.8077257934614852</v>
      </c>
      <c r="AT8" s="25">
        <f t="shared" si="44"/>
        <v>8.575035959304156</v>
      </c>
      <c r="AU8" s="25">
        <f t="shared" si="13"/>
        <v>4.030266900872953</v>
      </c>
      <c r="AW8" s="25">
        <f t="shared" si="14"/>
        <v>0.6</v>
      </c>
      <c r="AX8" s="25">
        <f t="shared" si="45"/>
        <v>0.11599175118890151</v>
      </c>
      <c r="AY8" s="25">
        <f t="shared" si="46"/>
        <v>0.26999703475837555</v>
      </c>
      <c r="AZ8" s="25">
        <f t="shared" si="61"/>
        <v>0.6541293557626471</v>
      </c>
      <c r="BA8" s="25">
        <f t="shared" si="62"/>
        <v>0.07587360947897737</v>
      </c>
      <c r="BB8" s="25">
        <f t="shared" si="15"/>
        <v>0.30579089693288286</v>
      </c>
      <c r="BC8" s="25">
        <f t="shared" si="16"/>
        <v>1.0881601125205254</v>
      </c>
      <c r="BD8" s="25">
        <f t="shared" si="17"/>
        <v>2.636315891419545</v>
      </c>
      <c r="BG8" s="76">
        <f t="shared" si="47"/>
        <v>29768</v>
      </c>
      <c r="BH8" s="30">
        <f t="shared" si="18"/>
        <v>31</v>
      </c>
      <c r="BI8" s="27">
        <f>'PSP-1 Metdata'!D9</f>
        <v>20.09999942779541</v>
      </c>
      <c r="BJ8" s="28">
        <f>'PSP-1 Metdata'!E9</f>
        <v>26.799999237060547</v>
      </c>
      <c r="BK8" s="28">
        <f>'PSP-1 Metdata'!F9</f>
        <v>13.399999618530273</v>
      </c>
      <c r="BL8" s="28">
        <f>'PSP-1 Metdata'!G9</f>
        <v>5.3599998474121096</v>
      </c>
      <c r="BM8" s="28">
        <f>'PSP-1 Metdata'!I9</f>
        <v>28.11322593688965</v>
      </c>
      <c r="BN8" s="28">
        <f>'PSP-1 Metdata'!J9</f>
        <v>1</v>
      </c>
      <c r="BO8" s="28">
        <f>'PSP-1 Metdata'!K9</f>
        <v>0</v>
      </c>
      <c r="BP8" s="25">
        <f>'PSP-1 Metdata'!L9</f>
        <v>35.23246508776798</v>
      </c>
      <c r="BQ8" s="25">
        <f>'PSP-1 Metdata'!M9</f>
        <v>15.372812437338062</v>
      </c>
      <c r="BR8" s="25">
        <f>'PSP-1 Metdata'!N9</f>
        <v>9.929826325214957</v>
      </c>
      <c r="BT8" s="25">
        <f t="shared" si="48"/>
        <v>51987.026278968784</v>
      </c>
      <c r="BU8" s="25">
        <f t="shared" si="19"/>
        <v>342.6191044054817</v>
      </c>
      <c r="BV8" s="25">
        <f t="shared" si="20"/>
        <v>0.2</v>
      </c>
      <c r="BW8" s="25">
        <f t="shared" si="21"/>
        <v>3646.5182056170993</v>
      </c>
      <c r="BX8" s="25">
        <f t="shared" si="22"/>
        <v>0.009655741188593997</v>
      </c>
      <c r="BY8" s="25">
        <f t="shared" si="49"/>
        <v>23.913065532064312</v>
      </c>
      <c r="BZ8" s="25">
        <f t="shared" si="23"/>
        <v>184.01154922646597</v>
      </c>
      <c r="CA8" s="27">
        <f t="shared" si="24"/>
        <v>3.8887045712479855</v>
      </c>
      <c r="CB8" s="139">
        <f t="shared" si="50"/>
        <v>120.54984170868755</v>
      </c>
      <c r="CD8" s="27">
        <f>IF(CJ7&lt;'DadosReais&amp;Graficos'!MinASW,'DadosReais&amp;Graficos'!MinASW,IF(CJ7&gt;'DadosReais&amp;Graficos'!MaxASW,'DadosReais&amp;Graficos'!MaxASW,CJ7))</f>
        <v>92.66062821784963</v>
      </c>
      <c r="CE8" s="25">
        <f t="shared" si="25"/>
        <v>0.8039999771118164</v>
      </c>
      <c r="CG8" s="27">
        <f t="shared" si="26"/>
        <v>98.02062806526175</v>
      </c>
      <c r="CH8" s="27">
        <f t="shared" si="51"/>
        <v>98.02062806526175</v>
      </c>
      <c r="CI8" s="27">
        <f>MAX(CG8-CH8-'DadosReais&amp;Graficos'!MaxASW,0)</f>
        <v>0</v>
      </c>
      <c r="CJ8" s="27">
        <f t="shared" si="63"/>
        <v>0</v>
      </c>
      <c r="CK8" s="27">
        <f>poolFractn*Month!CI8</f>
        <v>0</v>
      </c>
      <c r="CM8" s="53">
        <v>4</v>
      </c>
      <c r="CN8" s="55">
        <v>30</v>
      </c>
      <c r="CO8" s="55">
        <f t="shared" si="64"/>
        <v>105</v>
      </c>
      <c r="CQ8" s="25">
        <f>SIN(PI()*'DadosReais&amp;Graficos'!Lat/180)</f>
        <v>0.6293203910498374</v>
      </c>
      <c r="CR8" s="25">
        <f>COS(PI()*'DadosReais&amp;Graficos'!Lat/180)</f>
        <v>0.7771459614569709</v>
      </c>
      <c r="CS8" s="25">
        <f t="shared" si="65"/>
        <v>1981</v>
      </c>
      <c r="CT8" s="29">
        <f t="shared" si="66"/>
        <v>29587</v>
      </c>
      <c r="CU8" s="30">
        <f t="shared" si="52"/>
        <v>7</v>
      </c>
      <c r="CV8" s="27">
        <f t="shared" si="27"/>
        <v>197</v>
      </c>
      <c r="CW8" s="25">
        <f t="shared" si="67"/>
        <v>0.3616269729601193</v>
      </c>
      <c r="CX8" s="25">
        <f t="shared" si="28"/>
        <v>-0.3140969275246581</v>
      </c>
      <c r="CY8" s="25">
        <f t="shared" si="68"/>
        <v>0.6017016930436202</v>
      </c>
      <c r="CZ8" s="25">
        <f t="shared" si="69"/>
        <v>51987.026278968784</v>
      </c>
    </row>
    <row r="9" spans="1:104" ht="12.75">
      <c r="A9" s="149">
        <f t="shared" si="29"/>
        <v>29797</v>
      </c>
      <c r="B9" s="60">
        <f t="shared" si="0"/>
        <v>6.33</v>
      </c>
      <c r="C9" s="78">
        <f t="shared" si="53"/>
        <v>6.333333333333332</v>
      </c>
      <c r="D9" s="171">
        <f t="shared" si="30"/>
        <v>939904.222608935</v>
      </c>
      <c r="E9" s="30">
        <f t="shared" si="70"/>
        <v>1111</v>
      </c>
      <c r="F9" s="27">
        <f t="shared" si="54"/>
        <v>6.6787016684157505</v>
      </c>
      <c r="G9" s="27">
        <f t="shared" si="31"/>
        <v>16.73303131451954</v>
      </c>
      <c r="H9" s="27">
        <f t="shared" si="32"/>
        <v>57.862826200151105</v>
      </c>
      <c r="I9" s="27">
        <f t="shared" si="33"/>
        <v>64.54152786856686</v>
      </c>
      <c r="J9" s="27">
        <f t="shared" si="55"/>
        <v>81.2745591830864</v>
      </c>
      <c r="K9" s="24">
        <f t="shared" si="34"/>
        <v>4.081875586387174</v>
      </c>
      <c r="L9" s="27">
        <f t="shared" si="35"/>
        <v>2.7261629289069536</v>
      </c>
      <c r="M9" s="27">
        <f t="shared" si="56"/>
        <v>0.31226720924207296</v>
      </c>
      <c r="O9" s="25">
        <f t="shared" si="36"/>
        <v>0.012999999999999526</v>
      </c>
      <c r="P9" s="25">
        <f t="shared" si="37"/>
        <v>0.0868231216894016</v>
      </c>
      <c r="Q9" s="25">
        <f t="shared" si="1"/>
        <v>0.1673303131451954</v>
      </c>
      <c r="S9" s="27">
        <f t="shared" si="57"/>
        <v>52.08175175531152</v>
      </c>
      <c r="T9" s="27">
        <f t="shared" si="2"/>
        <v>12.525258783583416</v>
      </c>
      <c r="U9" s="27">
        <f t="shared" si="3"/>
        <v>0.21681740386052545</v>
      </c>
      <c r="V9" s="27">
        <f t="shared" si="4"/>
        <v>0.45</v>
      </c>
      <c r="W9" s="27">
        <f t="shared" si="5"/>
        <v>100.70479654089232</v>
      </c>
      <c r="X9" s="27">
        <f t="shared" si="6"/>
        <v>15.900757348561948</v>
      </c>
      <c r="Y9" s="27">
        <f t="shared" si="7"/>
        <v>13.689177520410267</v>
      </c>
      <c r="AA9" s="24">
        <f t="shared" si="8"/>
        <v>0.9145675419412385</v>
      </c>
      <c r="AB9" s="23">
        <f t="shared" si="9"/>
        <v>0.6596028156114755</v>
      </c>
      <c r="AC9" s="23">
        <f>IF('DadosReais&amp;Graficos'!soilClass&gt;0,0.8-0.1*'DadosReais&amp;Graficos'!soilClass,IF('DadosReais&amp;Graficos'!soilClass&lt;0,SWconst0,999))</f>
        <v>0.6000000000000001</v>
      </c>
      <c r="AD9" s="23">
        <f>IF('DadosReais&amp;Graficos'!soilClass&gt;0,11-2*'DadosReais&amp;Graficos'!soilClass,SWpower0)</f>
        <v>7</v>
      </c>
      <c r="AE9" s="24">
        <f>1/(1+((1-CD9/'DadosReais&amp;Graficos'!MaxASW)/AC9)^AD9)</f>
        <v>0.027231297938041656</v>
      </c>
      <c r="AF9" s="24">
        <f t="shared" si="58"/>
        <v>0.6</v>
      </c>
      <c r="AG9" s="27">
        <f t="shared" si="10"/>
        <v>1</v>
      </c>
      <c r="AH9" s="27">
        <f t="shared" si="11"/>
        <v>1</v>
      </c>
      <c r="AI9" s="27">
        <f t="shared" si="38"/>
        <v>0.9996840504729368</v>
      </c>
      <c r="AJ9" s="24">
        <f t="shared" si="39"/>
        <v>0.027222694222336818</v>
      </c>
      <c r="AM9" s="27">
        <f t="shared" si="40"/>
        <v>755.5099964141846</v>
      </c>
      <c r="AN9" s="27">
        <f t="shared" si="12"/>
        <v>1</v>
      </c>
      <c r="AO9" s="27">
        <f t="shared" si="41"/>
        <v>0.7441288968065602</v>
      </c>
      <c r="AP9" s="27">
        <f t="shared" si="59"/>
        <v>562.1968201580155</v>
      </c>
      <c r="AQ9" s="27">
        <f t="shared" si="60"/>
        <v>0.0013693345896967296</v>
      </c>
      <c r="AR9" s="27">
        <f t="shared" si="42"/>
        <v>0.07558726935125946</v>
      </c>
      <c r="AS9" s="27">
        <f t="shared" si="43"/>
        <v>0</v>
      </c>
      <c r="AT9" s="25">
        <f t="shared" si="44"/>
        <v>0</v>
      </c>
      <c r="AU9" s="25">
        <f t="shared" si="13"/>
        <v>0</v>
      </c>
      <c r="AW9" s="25">
        <f t="shared" si="14"/>
        <v>0.6</v>
      </c>
      <c r="AX9" s="25">
        <f t="shared" si="45"/>
        <v>0.11495135764298356</v>
      </c>
      <c r="AY9" s="25">
        <f t="shared" si="46"/>
        <v>0.48164370497354836</v>
      </c>
      <c r="AZ9" s="25">
        <f t="shared" si="61"/>
        <v>0.46491382020670496</v>
      </c>
      <c r="BA9" s="25">
        <f t="shared" si="62"/>
        <v>0.05344247481974668</v>
      </c>
      <c r="BB9" s="25">
        <f t="shared" si="15"/>
        <v>0</v>
      </c>
      <c r="BC9" s="25">
        <f t="shared" si="16"/>
        <v>0</v>
      </c>
      <c r="BD9" s="25">
        <f t="shared" si="17"/>
        <v>0</v>
      </c>
      <c r="BG9" s="76">
        <f t="shared" si="47"/>
        <v>29799</v>
      </c>
      <c r="BH9" s="30">
        <f t="shared" si="18"/>
        <v>31</v>
      </c>
      <c r="BI9" s="27">
        <f>'PSP-1 Metdata'!D10</f>
        <v>19.75</v>
      </c>
      <c r="BJ9" s="28">
        <f>'PSP-1 Metdata'!E10</f>
        <v>25.5</v>
      </c>
      <c r="BK9" s="28">
        <f>'PSP-1 Metdata'!F10</f>
        <v>14</v>
      </c>
      <c r="BL9" s="28">
        <f>'PSP-1 Metdata'!G10</f>
        <v>0</v>
      </c>
      <c r="BM9" s="28">
        <f>'PSP-1 Metdata'!I10</f>
        <v>24.37129020690918</v>
      </c>
      <c r="BN9" s="28">
        <f>'PSP-1 Metdata'!J10</f>
        <v>0</v>
      </c>
      <c r="BO9" s="28">
        <f>'PSP-1 Metdata'!K10</f>
        <v>0</v>
      </c>
      <c r="BP9" s="25">
        <f>'PSP-1 Metdata'!L10</f>
        <v>32.62933139993077</v>
      </c>
      <c r="BQ9" s="25">
        <f>'PSP-1 Metdata'!M10</f>
        <v>15.984634614301127</v>
      </c>
      <c r="BR9" s="25">
        <f>'PSP-1 Metdata'!N10</f>
        <v>8.32234839281482</v>
      </c>
      <c r="BT9" s="25">
        <f t="shared" si="48"/>
        <v>48361.75661678577</v>
      </c>
      <c r="BU9" s="25">
        <f t="shared" si="19"/>
        <v>313.1497929246053</v>
      </c>
      <c r="BV9" s="25">
        <f t="shared" si="20"/>
        <v>0.2</v>
      </c>
      <c r="BW9" s="25">
        <f t="shared" si="21"/>
        <v>3056.2060134753156</v>
      </c>
      <c r="BX9" s="25">
        <f t="shared" si="22"/>
        <v>0.0004457267256090339</v>
      </c>
      <c r="BY9" s="25">
        <f t="shared" si="49"/>
        <v>451.90542534043294</v>
      </c>
      <c r="BZ9" s="25">
        <f t="shared" si="23"/>
        <v>8.28743216589651</v>
      </c>
      <c r="CA9" s="27">
        <f t="shared" si="24"/>
        <v>0.1629247062541499</v>
      </c>
      <c r="CB9" s="139">
        <f t="shared" si="50"/>
        <v>5.050665893878647</v>
      </c>
      <c r="CD9" s="27">
        <f>IF(CJ8&lt;'DadosReais&amp;Graficos'!MinASW,'DadosReais&amp;Graficos'!MinASW,IF(CJ8&gt;'DadosReais&amp;Graficos'!MaxASW,'DadosReais&amp;Graficos'!MaxASW,CJ8))</f>
        <v>0</v>
      </c>
      <c r="CE9" s="25">
        <f t="shared" si="25"/>
        <v>0</v>
      </c>
      <c r="CG9" s="27">
        <f t="shared" si="26"/>
        <v>0</v>
      </c>
      <c r="CH9" s="27">
        <f t="shared" si="51"/>
        <v>0</v>
      </c>
      <c r="CI9" s="27">
        <f>MAX(CG9-CH9-'DadosReais&amp;Graficos'!MaxASW,0)</f>
        <v>0</v>
      </c>
      <c r="CJ9" s="27">
        <f t="shared" si="63"/>
        <v>0</v>
      </c>
      <c r="CK9" s="27">
        <f>poolFractn*Month!CI9</f>
        <v>0</v>
      </c>
      <c r="CM9" s="53">
        <v>5</v>
      </c>
      <c r="CN9" s="55">
        <v>31</v>
      </c>
      <c r="CO9" s="55">
        <f t="shared" si="64"/>
        <v>136</v>
      </c>
      <c r="CQ9" s="25">
        <f>SIN(PI()*'DadosReais&amp;Graficos'!Lat/180)</f>
        <v>0.6293203910498374</v>
      </c>
      <c r="CR9" s="25">
        <f>COS(PI()*'DadosReais&amp;Graficos'!Lat/180)</f>
        <v>0.7771459614569709</v>
      </c>
      <c r="CS9" s="25">
        <f t="shared" si="65"/>
        <v>1981</v>
      </c>
      <c r="CT9" s="29">
        <f t="shared" si="66"/>
        <v>29587</v>
      </c>
      <c r="CU9" s="30">
        <f t="shared" si="52"/>
        <v>8</v>
      </c>
      <c r="CV9" s="27">
        <f t="shared" si="27"/>
        <v>228</v>
      </c>
      <c r="CW9" s="25">
        <f t="shared" si="67"/>
        <v>0.2245322171168967</v>
      </c>
      <c r="CX9" s="25">
        <f t="shared" si="28"/>
        <v>-0.18658678708195917</v>
      </c>
      <c r="CY9" s="25">
        <f t="shared" si="68"/>
        <v>0.5597425534350206</v>
      </c>
      <c r="CZ9" s="25">
        <f t="shared" si="69"/>
        <v>48361.75661678577</v>
      </c>
    </row>
    <row r="10" spans="1:104" ht="12.75">
      <c r="A10" s="149">
        <f t="shared" si="29"/>
        <v>29828</v>
      </c>
      <c r="B10" s="60">
        <f t="shared" si="0"/>
        <v>6.42</v>
      </c>
      <c r="C10" s="78">
        <f t="shared" si="53"/>
        <v>6.416666666666665</v>
      </c>
      <c r="D10" s="171">
        <f t="shared" si="30"/>
        <v>944478.1701039294</v>
      </c>
      <c r="E10" s="30">
        <f t="shared" si="70"/>
        <v>1111</v>
      </c>
      <c r="F10" s="27">
        <f t="shared" si="54"/>
        <v>6.591878546726349</v>
      </c>
      <c r="G10" s="27">
        <f t="shared" si="31"/>
        <v>16.565701001374343</v>
      </c>
      <c r="H10" s="27">
        <f t="shared" si="32"/>
        <v>57.862826200151105</v>
      </c>
      <c r="I10" s="27">
        <f t="shared" si="33"/>
        <v>64.45470474687745</v>
      </c>
      <c r="J10" s="27">
        <f t="shared" si="55"/>
        <v>81.02040574825179</v>
      </c>
      <c r="K10" s="27">
        <f t="shared" si="34"/>
        <v>4.0727745157264605</v>
      </c>
      <c r="L10" s="27">
        <f t="shared" si="35"/>
        <v>2.684723495587105</v>
      </c>
      <c r="M10" s="27">
        <f t="shared" si="56"/>
        <v>0.39909033093147456</v>
      </c>
      <c r="O10" s="25">
        <f t="shared" si="36"/>
        <v>0.012999999999999694</v>
      </c>
      <c r="P10" s="25">
        <f t="shared" si="37"/>
        <v>0.08569442110744052</v>
      </c>
      <c r="Q10" s="25">
        <f t="shared" si="1"/>
        <v>0.16565701001374344</v>
      </c>
      <c r="S10" s="27">
        <f t="shared" si="57"/>
        <v>52.08175175531152</v>
      </c>
      <c r="T10" s="27">
        <f t="shared" si="2"/>
        <v>12.525258783583416</v>
      </c>
      <c r="U10" s="27">
        <f t="shared" si="3"/>
        <v>0.21491524207546076</v>
      </c>
      <c r="V10" s="27">
        <f t="shared" si="4"/>
        <v>0.45</v>
      </c>
      <c r="W10" s="27">
        <f t="shared" si="5"/>
        <v>100.94938422261181</v>
      </c>
      <c r="X10" s="27">
        <f t="shared" si="6"/>
        <v>15.732371567160286</v>
      </c>
      <c r="Y10" s="27">
        <f t="shared" si="7"/>
        <v>13.689177520410267</v>
      </c>
      <c r="AA10" s="24">
        <f t="shared" si="8"/>
        <v>0.9344419793632323</v>
      </c>
      <c r="AB10" s="23">
        <f t="shared" si="9"/>
        <v>0.666970339179199</v>
      </c>
      <c r="AC10" s="23">
        <f>IF('DadosReais&amp;Graficos'!soilClass&gt;0,0.8-0.1*'DadosReais&amp;Graficos'!soilClass,IF('DadosReais&amp;Graficos'!soilClass&lt;0,SWconst0,999))</f>
        <v>0.6000000000000001</v>
      </c>
      <c r="AD10" s="23">
        <f>IF('DadosReais&amp;Graficos'!soilClass&gt;0,11-2*'DadosReais&amp;Graficos'!soilClass,SWpower0)</f>
        <v>7</v>
      </c>
      <c r="AE10" s="24">
        <f>1/(1+((1-CD10/'DadosReais&amp;Graficos'!MaxASW)/AC10)^AD10)</f>
        <v>0.027231297938041656</v>
      </c>
      <c r="AF10" s="24">
        <f t="shared" si="58"/>
        <v>0.6</v>
      </c>
      <c r="AG10" s="27">
        <f t="shared" si="10"/>
        <v>1</v>
      </c>
      <c r="AH10" s="27">
        <f t="shared" si="11"/>
        <v>1</v>
      </c>
      <c r="AI10" s="27">
        <f t="shared" si="38"/>
        <v>0.9996670961056582</v>
      </c>
      <c r="AJ10" s="24">
        <f t="shared" si="39"/>
        <v>0.0272222325329101</v>
      </c>
      <c r="AM10" s="27">
        <f t="shared" si="40"/>
        <v>531.8800163269043</v>
      </c>
      <c r="AN10" s="27">
        <f t="shared" si="12"/>
        <v>1</v>
      </c>
      <c r="AO10" s="27">
        <f t="shared" si="41"/>
        <v>0.7387720151559818</v>
      </c>
      <c r="AP10" s="27">
        <f t="shared" si="59"/>
        <v>392.9380714830236</v>
      </c>
      <c r="AQ10" s="27">
        <f t="shared" si="60"/>
        <v>0.001399067826790628</v>
      </c>
      <c r="AR10" s="27">
        <f t="shared" si="42"/>
        <v>0.07722854403884266</v>
      </c>
      <c r="AS10" s="27">
        <f t="shared" si="43"/>
        <v>1</v>
      </c>
      <c r="AT10" s="25">
        <f t="shared" si="44"/>
        <v>0.30346035158064594</v>
      </c>
      <c r="AU10" s="25">
        <f t="shared" si="13"/>
        <v>0.1426263652429036</v>
      </c>
      <c r="AW10" s="25">
        <f t="shared" si="14"/>
        <v>0.6</v>
      </c>
      <c r="AX10" s="25">
        <f t="shared" si="45"/>
        <v>0.11495135764298356</v>
      </c>
      <c r="AY10" s="25">
        <f t="shared" si="46"/>
        <v>0.48164400486218334</v>
      </c>
      <c r="AZ10" s="25">
        <f t="shared" si="61"/>
        <v>0.4649135512365541</v>
      </c>
      <c r="BA10" s="25">
        <f t="shared" si="62"/>
        <v>0.053442443901262626</v>
      </c>
      <c r="BB10" s="25">
        <f t="shared" si="15"/>
        <v>0.007622301523334869</v>
      </c>
      <c r="BC10" s="25">
        <f t="shared" si="16"/>
        <v>0.0686951337545286</v>
      </c>
      <c r="BD10" s="25">
        <f t="shared" si="17"/>
        <v>0.06630892996504013</v>
      </c>
      <c r="BG10" s="76">
        <f t="shared" si="47"/>
        <v>29830</v>
      </c>
      <c r="BH10" s="30">
        <f t="shared" si="18"/>
        <v>30</v>
      </c>
      <c r="BI10" s="27">
        <f>'PSP-1 Metdata'!D11</f>
        <v>19.25</v>
      </c>
      <c r="BJ10" s="28">
        <f>'PSP-1 Metdata'!E11</f>
        <v>25</v>
      </c>
      <c r="BK10" s="28">
        <f>'PSP-1 Metdata'!F11</f>
        <v>13.5</v>
      </c>
      <c r="BL10" s="28">
        <f>'PSP-1 Metdata'!G11</f>
        <v>26.479998779296878</v>
      </c>
      <c r="BM10" s="28">
        <f>'PSP-1 Metdata'!I11</f>
        <v>17.729333877563477</v>
      </c>
      <c r="BN10" s="28">
        <f>'PSP-1 Metdata'!J11</f>
        <v>5</v>
      </c>
      <c r="BO10" s="28">
        <f>'PSP-1 Metdata'!K11</f>
        <v>0</v>
      </c>
      <c r="BP10" s="25">
        <f>'PSP-1 Metdata'!L11</f>
        <v>31.673720930966624</v>
      </c>
      <c r="BQ10" s="25">
        <f>'PSP-1 Metdata'!M11</f>
        <v>15.47333280888696</v>
      </c>
      <c r="BR10" s="25">
        <f>'PSP-1 Metdata'!N11</f>
        <v>8.100194061039833</v>
      </c>
      <c r="BT10" s="25">
        <f t="shared" si="48"/>
        <v>43912.27946472623</v>
      </c>
      <c r="BU10" s="25">
        <f t="shared" si="19"/>
        <v>232.995464479225</v>
      </c>
      <c r="BV10" s="25">
        <f t="shared" si="20"/>
        <v>0.2</v>
      </c>
      <c r="BW10" s="25">
        <f t="shared" si="21"/>
        <v>2974.624544802785</v>
      </c>
      <c r="BX10" s="25">
        <f t="shared" si="22"/>
        <v>0.00043894394764828484</v>
      </c>
      <c r="BY10" s="25">
        <f t="shared" si="49"/>
        <v>458.8390424598249</v>
      </c>
      <c r="BZ10" s="25">
        <f t="shared" si="23"/>
        <v>7.600082477642286</v>
      </c>
      <c r="CA10" s="27">
        <f t="shared" si="24"/>
        <v>0.13566542508666543</v>
      </c>
      <c r="CB10" s="139">
        <f t="shared" si="50"/>
        <v>4.069962752599963</v>
      </c>
      <c r="CD10" s="27">
        <f>IF(CJ9&lt;'DadosReais&amp;Graficos'!MinASW,'DadosReais&amp;Graficos'!MinASW,IF(CJ9&gt;'DadosReais&amp;Graficos'!MaxASW,'DadosReais&amp;Graficos'!MaxASW,CJ9))</f>
        <v>0</v>
      </c>
      <c r="CE10" s="25">
        <f t="shared" si="25"/>
        <v>3.9719998168945314</v>
      </c>
      <c r="CG10" s="27">
        <f t="shared" si="26"/>
        <v>26.479998779296878</v>
      </c>
      <c r="CH10" s="27">
        <f t="shared" si="51"/>
        <v>8.041962569494494</v>
      </c>
      <c r="CI10" s="27">
        <f>MAX(CG10-CH10-'DadosReais&amp;Graficos'!MaxASW,0)</f>
        <v>0</v>
      </c>
      <c r="CJ10" s="27">
        <f t="shared" si="63"/>
        <v>18.438036209802384</v>
      </c>
      <c r="CK10" s="27">
        <f>poolFractn*Month!CI10</f>
        <v>0</v>
      </c>
      <c r="CM10" s="53">
        <v>6</v>
      </c>
      <c r="CN10" s="55">
        <v>30</v>
      </c>
      <c r="CO10" s="55">
        <f t="shared" si="64"/>
        <v>166</v>
      </c>
      <c r="CQ10" s="25">
        <f>SIN(PI()*'DadosReais&amp;Graficos'!Lat/180)</f>
        <v>0.6293203910498374</v>
      </c>
      <c r="CR10" s="25">
        <f>COS(PI()*'DadosReais&amp;Graficos'!Lat/180)</f>
        <v>0.7771459614569709</v>
      </c>
      <c r="CS10" s="25">
        <f t="shared" si="65"/>
        <v>1981</v>
      </c>
      <c r="CT10" s="29">
        <f t="shared" si="66"/>
        <v>29587</v>
      </c>
      <c r="CU10" s="30">
        <f t="shared" si="52"/>
        <v>9</v>
      </c>
      <c r="CV10" s="27">
        <f t="shared" si="27"/>
        <v>258</v>
      </c>
      <c r="CW10" s="25">
        <f t="shared" si="67"/>
        <v>0.031962948421114835</v>
      </c>
      <c r="CX10" s="25">
        <f t="shared" si="28"/>
        <v>-0.025896316893613495</v>
      </c>
      <c r="CY10" s="25">
        <f t="shared" si="68"/>
        <v>0.5082439752861831</v>
      </c>
      <c r="CZ10" s="25">
        <f t="shared" si="69"/>
        <v>43912.27946472623</v>
      </c>
    </row>
    <row r="11" spans="1:104" ht="12.75">
      <c r="A11" s="149">
        <f t="shared" si="29"/>
        <v>29859</v>
      </c>
      <c r="B11" s="60">
        <f t="shared" si="0"/>
        <v>6.5</v>
      </c>
      <c r="C11" s="78">
        <f t="shared" si="53"/>
        <v>6.499999999999998</v>
      </c>
      <c r="D11" s="171">
        <f t="shared" si="30"/>
        <v>946446.0677360513</v>
      </c>
      <c r="E11" s="30">
        <f t="shared" si="70"/>
        <v>1111</v>
      </c>
      <c r="F11" s="27">
        <f t="shared" si="54"/>
        <v>6.513806427142243</v>
      </c>
      <c r="G11" s="27">
        <f t="shared" si="31"/>
        <v>16.46873912511513</v>
      </c>
      <c r="H11" s="27">
        <f t="shared" si="32"/>
        <v>57.929135130116144</v>
      </c>
      <c r="I11" s="27">
        <f t="shared" si="33"/>
        <v>64.4429415572584</v>
      </c>
      <c r="J11" s="27">
        <f t="shared" si="55"/>
        <v>80.91168068237351</v>
      </c>
      <c r="K11" s="27">
        <f t="shared" si="34"/>
        <v>4.064585536171927</v>
      </c>
      <c r="L11" s="27">
        <f t="shared" si="35"/>
        <v>2.6475923389186105</v>
      </c>
      <c r="M11" s="27">
        <f t="shared" si="56"/>
        <v>0.4847847520389151</v>
      </c>
      <c r="O11" s="25">
        <f t="shared" si="36"/>
        <v>0.012999999999999802</v>
      </c>
      <c r="P11" s="25">
        <f t="shared" si="37"/>
        <v>0.08467948355284786</v>
      </c>
      <c r="Q11" s="25">
        <f t="shared" si="1"/>
        <v>0.16468739125115128</v>
      </c>
      <c r="S11" s="27">
        <f t="shared" si="57"/>
        <v>52.141435760680594</v>
      </c>
      <c r="T11" s="27">
        <f t="shared" si="2"/>
        <v>12.530560815945812</v>
      </c>
      <c r="U11" s="27">
        <f t="shared" si="3"/>
        <v>0.21306723114402862</v>
      </c>
      <c r="V11" s="27">
        <f t="shared" si="4"/>
        <v>0.45</v>
      </c>
      <c r="W11" s="27">
        <f t="shared" si="5"/>
        <v>101.30296601194226</v>
      </c>
      <c r="X11" s="27">
        <f t="shared" si="6"/>
        <v>15.585071694144967</v>
      </c>
      <c r="Y11" s="27">
        <f t="shared" si="7"/>
        <v>13.700769428473594</v>
      </c>
      <c r="AA11" s="24">
        <f t="shared" si="8"/>
        <v>0.9995615907032651</v>
      </c>
      <c r="AB11" s="23">
        <f t="shared" si="9"/>
        <v>0.7180437169800985</v>
      </c>
      <c r="AC11" s="23">
        <f>IF('DadosReais&amp;Graficos'!soilClass&gt;0,0.8-0.1*'DadosReais&amp;Graficos'!soilClass,IF('DadosReais&amp;Graficos'!soilClass&lt;0,SWconst0,999))</f>
        <v>0.6000000000000001</v>
      </c>
      <c r="AD11" s="23">
        <f>IF('DadosReais&amp;Graficos'!soilClass&gt;0,11-2*'DadosReais&amp;Graficos'!soilClass,SWpower0)</f>
        <v>7</v>
      </c>
      <c r="AE11" s="24">
        <f>1/(1+((1-CD11/'DadosReais&amp;Graficos'!MaxASW)/AC11)^AD11)</f>
        <v>0.05221604504484491</v>
      </c>
      <c r="AF11" s="24">
        <f t="shared" si="58"/>
        <v>0.6</v>
      </c>
      <c r="AG11" s="27">
        <f t="shared" si="10"/>
        <v>1</v>
      </c>
      <c r="AH11" s="27">
        <f t="shared" si="11"/>
        <v>1</v>
      </c>
      <c r="AI11" s="27">
        <f t="shared" si="38"/>
        <v>0.9996494687612613</v>
      </c>
      <c r="AJ11" s="24">
        <f t="shared" si="39"/>
        <v>0.0521977416898933</v>
      </c>
      <c r="AM11" s="27">
        <f t="shared" si="40"/>
        <v>446.2500104904175</v>
      </c>
      <c r="AN11" s="27">
        <f t="shared" si="12"/>
        <v>1</v>
      </c>
      <c r="AO11" s="27">
        <f t="shared" si="41"/>
        <v>0.7338768665119217</v>
      </c>
      <c r="AP11" s="27">
        <f t="shared" si="59"/>
        <v>327.49255937961976</v>
      </c>
      <c r="AQ11" s="27">
        <f t="shared" si="60"/>
        <v>0.002869617174306734</v>
      </c>
      <c r="AR11" s="27">
        <f t="shared" si="42"/>
        <v>0.1584028680217317</v>
      </c>
      <c r="AS11" s="27">
        <f t="shared" si="43"/>
        <v>1</v>
      </c>
      <c r="AT11" s="25">
        <f t="shared" si="44"/>
        <v>0.5187576066150904</v>
      </c>
      <c r="AU11" s="25">
        <f t="shared" si="13"/>
        <v>0.24381607510909248</v>
      </c>
      <c r="AW11" s="25">
        <f t="shared" si="14"/>
        <v>0.6</v>
      </c>
      <c r="AX11" s="25">
        <f t="shared" si="45"/>
        <v>0.1149259226979042</v>
      </c>
      <c r="AY11" s="25">
        <f t="shared" si="46"/>
        <v>0.4659498575716457</v>
      </c>
      <c r="AZ11" s="25">
        <f t="shared" si="61"/>
        <v>0.4790005609844076</v>
      </c>
      <c r="BA11" s="25">
        <f t="shared" si="62"/>
        <v>0.05504958144394678</v>
      </c>
      <c r="BB11" s="25">
        <f t="shared" si="15"/>
        <v>0.013421972884061432</v>
      </c>
      <c r="BC11" s="25">
        <f t="shared" si="16"/>
        <v>0.11360606547075931</v>
      </c>
      <c r="BD11" s="25">
        <f t="shared" si="17"/>
        <v>0.11678803675427175</v>
      </c>
      <c r="BG11" s="76">
        <f t="shared" si="47"/>
        <v>29860</v>
      </c>
      <c r="BH11" s="30">
        <f t="shared" si="18"/>
        <v>31</v>
      </c>
      <c r="BI11" s="27">
        <f>'PSP-1 Metdata'!D12</f>
        <v>16.249999523162842</v>
      </c>
      <c r="BJ11" s="28">
        <f>'PSP-1 Metdata'!E12</f>
        <v>21.799999237060547</v>
      </c>
      <c r="BK11" s="28">
        <f>'PSP-1 Metdata'!F12</f>
        <v>10.699999809265137</v>
      </c>
      <c r="BL11" s="28">
        <f>'PSP-1 Metdata'!G12</f>
        <v>39.76000061035157</v>
      </c>
      <c r="BM11" s="28">
        <f>'PSP-1 Metdata'!I12</f>
        <v>14.395161628723145</v>
      </c>
      <c r="BN11" s="28">
        <f>'PSP-1 Metdata'!J12</f>
        <v>5</v>
      </c>
      <c r="BO11" s="28">
        <f>'PSP-1 Metdata'!K12</f>
        <v>0</v>
      </c>
      <c r="BP11" s="25">
        <f>'PSP-1 Metdata'!L12</f>
        <v>26.11566521908016</v>
      </c>
      <c r="BQ11" s="25">
        <f>'PSP-1 Metdata'!M12</f>
        <v>12.866672233938193</v>
      </c>
      <c r="BR11" s="25">
        <f>'PSP-1 Metdata'!N12</f>
        <v>6.624496492570984</v>
      </c>
      <c r="BT11" s="25">
        <f t="shared" si="48"/>
        <v>39224.4387806368</v>
      </c>
      <c r="BU11" s="25">
        <f t="shared" si="19"/>
        <v>203.59576990719034</v>
      </c>
      <c r="BV11" s="25">
        <f t="shared" si="20"/>
        <v>0.2</v>
      </c>
      <c r="BW11" s="25">
        <f t="shared" si="21"/>
        <v>2432.7058975710515</v>
      </c>
      <c r="BX11" s="25">
        <f t="shared" si="22"/>
        <v>0.0008300200661081925</v>
      </c>
      <c r="BY11" s="25">
        <f t="shared" si="49"/>
        <v>244.15803001216858</v>
      </c>
      <c r="BZ11" s="25">
        <f t="shared" si="23"/>
        <v>11.798164456124189</v>
      </c>
      <c r="CA11" s="27">
        <f t="shared" si="24"/>
        <v>0.1881204794443611</v>
      </c>
      <c r="CB11" s="139">
        <f t="shared" si="50"/>
        <v>5.831734862775194</v>
      </c>
      <c r="CD11" s="27">
        <f>IF(CJ10&lt;'DadosReais&amp;Graficos'!MinASW,'DadosReais&amp;Graficos'!MinASW,IF(CJ10&gt;'DadosReais&amp;Graficos'!MaxASW,'DadosReais&amp;Graficos'!MaxASW,CJ10))</f>
        <v>18.438036209802384</v>
      </c>
      <c r="CE11" s="25">
        <f t="shared" si="25"/>
        <v>5.964000091552735</v>
      </c>
      <c r="CG11" s="27">
        <f t="shared" si="26"/>
        <v>58.19803682015395</v>
      </c>
      <c r="CH11" s="27">
        <f t="shared" si="51"/>
        <v>11.79573495432793</v>
      </c>
      <c r="CI11" s="27">
        <f>MAX(CG11-CH11-'DadosReais&amp;Graficos'!MaxASW,0)</f>
        <v>0</v>
      </c>
      <c r="CJ11" s="27">
        <f t="shared" si="63"/>
        <v>46.40230186582602</v>
      </c>
      <c r="CK11" s="27">
        <f>poolFractn*Month!CI11</f>
        <v>0</v>
      </c>
      <c r="CM11" s="53">
        <v>7</v>
      </c>
      <c r="CN11" s="55">
        <v>31</v>
      </c>
      <c r="CO11" s="55">
        <f t="shared" si="64"/>
        <v>197</v>
      </c>
      <c r="CQ11" s="25">
        <f>SIN(PI()*'DadosReais&amp;Graficos'!Lat/180)</f>
        <v>0.6293203910498374</v>
      </c>
      <c r="CR11" s="25">
        <f>COS(PI()*'DadosReais&amp;Graficos'!Lat/180)</f>
        <v>0.7771459614569709</v>
      </c>
      <c r="CS11" s="25">
        <f t="shared" si="65"/>
        <v>1981</v>
      </c>
      <c r="CT11" s="29">
        <f t="shared" si="66"/>
        <v>29587</v>
      </c>
      <c r="CU11" s="30">
        <f t="shared" si="52"/>
        <v>10</v>
      </c>
      <c r="CV11" s="27">
        <f t="shared" si="27"/>
        <v>289</v>
      </c>
      <c r="CW11" s="25">
        <f t="shared" si="67"/>
        <v>-0.1751405350728837</v>
      </c>
      <c r="CX11" s="25">
        <f t="shared" si="28"/>
        <v>0.14405256542254885</v>
      </c>
      <c r="CY11" s="25">
        <f t="shared" si="68"/>
        <v>0.4539865599610741</v>
      </c>
      <c r="CZ11" s="25">
        <f t="shared" si="69"/>
        <v>39224.4387806368</v>
      </c>
    </row>
    <row r="12" spans="1:104" ht="12.75">
      <c r="A12" s="149">
        <f t="shared" si="29"/>
        <v>29889</v>
      </c>
      <c r="B12" s="60">
        <f t="shared" si="0"/>
        <v>6.58</v>
      </c>
      <c r="C12" s="78">
        <f t="shared" si="53"/>
        <v>6.583333333333331</v>
      </c>
      <c r="D12" s="171">
        <f t="shared" si="30"/>
        <v>946546.716835056</v>
      </c>
      <c r="E12" s="30">
        <f t="shared" si="70"/>
        <v>1111</v>
      </c>
      <c r="F12" s="27">
        <f t="shared" si="54"/>
        <v>6.442548916473457</v>
      </c>
      <c r="G12" s="27">
        <f t="shared" si="31"/>
        <v>16.417657799334734</v>
      </c>
      <c r="H12" s="27">
        <f t="shared" si="32"/>
        <v>58.045923166870416</v>
      </c>
      <c r="I12" s="27">
        <f t="shared" si="33"/>
        <v>64.48847208334388</v>
      </c>
      <c r="J12" s="27">
        <f t="shared" si="55"/>
        <v>80.90612988267861</v>
      </c>
      <c r="K12" s="27">
        <f t="shared" si="34"/>
        <v>4.057229804056273</v>
      </c>
      <c r="L12" s="27">
        <f t="shared" si="35"/>
        <v>2.6138901478006558</v>
      </c>
      <c r="M12" s="27">
        <f t="shared" si="56"/>
        <v>0.569464235591763</v>
      </c>
      <c r="O12" s="25">
        <f t="shared" si="36"/>
        <v>0.012999999999999873</v>
      </c>
      <c r="P12" s="25">
        <f t="shared" si="37"/>
        <v>0.08375313591415412</v>
      </c>
      <c r="Q12" s="25">
        <f t="shared" si="1"/>
        <v>0.16417657799334734</v>
      </c>
      <c r="S12" s="27">
        <f t="shared" si="57"/>
        <v>52.246555505733944</v>
      </c>
      <c r="T12" s="27">
        <f t="shared" si="2"/>
        <v>12.539889838351133</v>
      </c>
      <c r="U12" s="27">
        <f t="shared" si="3"/>
        <v>0.21127182949654127</v>
      </c>
      <c r="V12" s="27">
        <f t="shared" si="4"/>
        <v>0.45</v>
      </c>
      <c r="W12" s="27">
        <f t="shared" si="5"/>
        <v>101.73878841020007</v>
      </c>
      <c r="X12" s="27">
        <f t="shared" si="6"/>
        <v>15.453993176232927</v>
      </c>
      <c r="Y12" s="27">
        <f t="shared" si="7"/>
        <v>13.721177511719276</v>
      </c>
      <c r="AA12" s="24">
        <f t="shared" si="8"/>
        <v>0.988390100202397</v>
      </c>
      <c r="AB12" s="23">
        <f t="shared" si="9"/>
        <v>0.6385933757818268</v>
      </c>
      <c r="AC12" s="23">
        <f>IF('DadosReais&amp;Graficos'!soilClass&gt;0,0.8-0.1*'DadosReais&amp;Graficos'!soilClass,IF('DadosReais&amp;Graficos'!soilClass&lt;0,SWconst0,999))</f>
        <v>0.6000000000000001</v>
      </c>
      <c r="AD12" s="23">
        <f>IF('DadosReais&amp;Graficos'!soilClass&gt;0,11-2*'DadosReais&amp;Graficos'!soilClass,SWpower0)</f>
        <v>7</v>
      </c>
      <c r="AE12" s="24">
        <f>1/(1+((1-CD12/'DadosReais&amp;Graficos'!MaxASW)/AC12)^AD12)</f>
        <v>0.150854386199116</v>
      </c>
      <c r="AF12" s="24">
        <f t="shared" si="58"/>
        <v>0.6</v>
      </c>
      <c r="AG12" s="27">
        <f t="shared" si="10"/>
        <v>1</v>
      </c>
      <c r="AH12" s="27">
        <f t="shared" si="11"/>
        <v>1</v>
      </c>
      <c r="AI12" s="27">
        <f t="shared" si="38"/>
        <v>0.999631150903663</v>
      </c>
      <c r="AJ12" s="24">
        <f t="shared" si="39"/>
        <v>0.15079874369508797</v>
      </c>
      <c r="AM12" s="27">
        <f t="shared" si="40"/>
        <v>285.9500026702881</v>
      </c>
      <c r="AN12" s="27">
        <f t="shared" si="12"/>
        <v>1</v>
      </c>
      <c r="AO12" s="27">
        <f t="shared" si="41"/>
        <v>0.7293544029420087</v>
      </c>
      <c r="AP12" s="27">
        <f t="shared" si="59"/>
        <v>208.55889346885377</v>
      </c>
      <c r="AQ12" s="27">
        <f t="shared" si="60"/>
        <v>0.008197639196515097</v>
      </c>
      <c r="AR12" s="27">
        <f t="shared" si="42"/>
        <v>0.45250968364763333</v>
      </c>
      <c r="AS12" s="27">
        <f t="shared" si="43"/>
        <v>1</v>
      </c>
      <c r="AT12" s="25">
        <f t="shared" si="44"/>
        <v>0.9437491890549148</v>
      </c>
      <c r="AU12" s="25">
        <f t="shared" si="13"/>
        <v>0.44356211885580993</v>
      </c>
      <c r="AW12" s="25">
        <f t="shared" si="14"/>
        <v>0.6</v>
      </c>
      <c r="AX12" s="25">
        <f t="shared" si="45"/>
        <v>0.11488120921490627</v>
      </c>
      <c r="AY12" s="25">
        <f t="shared" si="46"/>
        <v>0.4128416062131852</v>
      </c>
      <c r="AZ12" s="25">
        <f t="shared" si="61"/>
        <v>0.5266555655739222</v>
      </c>
      <c r="BA12" s="25">
        <f t="shared" si="62"/>
        <v>0.060502828212892545</v>
      </c>
      <c r="BB12" s="25">
        <f t="shared" si="15"/>
        <v>0.026836762678879692</v>
      </c>
      <c r="BC12" s="25">
        <f t="shared" si="16"/>
        <v>0.18312089760375633</v>
      </c>
      <c r="BD12" s="25">
        <f t="shared" si="17"/>
        <v>0.23360445857317388</v>
      </c>
      <c r="BG12" s="76">
        <f t="shared" si="47"/>
        <v>29891</v>
      </c>
      <c r="BH12" s="30">
        <f t="shared" si="18"/>
        <v>30</v>
      </c>
      <c r="BI12" s="27">
        <f>'PSP-1 Metdata'!D13</f>
        <v>14.749999523162842</v>
      </c>
      <c r="BJ12" s="28">
        <f>'PSP-1 Metdata'!E13</f>
        <v>22.799999237060547</v>
      </c>
      <c r="BK12" s="28">
        <f>'PSP-1 Metdata'!F13</f>
        <v>6.699999809265137</v>
      </c>
      <c r="BL12" s="28">
        <f>'PSP-1 Metdata'!G13</f>
        <v>0.6400000095367432</v>
      </c>
      <c r="BM12" s="28">
        <f>'PSP-1 Metdata'!I13</f>
        <v>9.53166675567627</v>
      </c>
      <c r="BN12" s="28">
        <f>'PSP-1 Metdata'!J13</f>
        <v>0</v>
      </c>
      <c r="BO12" s="28">
        <f>'PSP-1 Metdata'!K13</f>
        <v>0</v>
      </c>
      <c r="BP12" s="25">
        <f>'PSP-1 Metdata'!L13</f>
        <v>27.75296930837055</v>
      </c>
      <c r="BQ12" s="25">
        <f>'PSP-1 Metdata'!M13</f>
        <v>9.813474436884212</v>
      </c>
      <c r="BR12" s="25">
        <f>'PSP-1 Metdata'!N13</f>
        <v>8.96974743574317</v>
      </c>
      <c r="BT12" s="25">
        <f t="shared" si="48"/>
        <v>35312.835538885876</v>
      </c>
      <c r="BU12" s="25">
        <f t="shared" si="19"/>
        <v>125.9365932578292</v>
      </c>
      <c r="BV12" s="25">
        <f t="shared" si="20"/>
        <v>0.2</v>
      </c>
      <c r="BW12" s="25">
        <f t="shared" si="21"/>
        <v>3293.9495871310414</v>
      </c>
      <c r="BX12" s="25">
        <f t="shared" si="22"/>
        <v>0.00236739549817001</v>
      </c>
      <c r="BY12" s="25">
        <f t="shared" si="49"/>
        <v>87.68102573254002</v>
      </c>
      <c r="BZ12" s="25">
        <f t="shared" si="23"/>
        <v>40.727284637284974</v>
      </c>
      <c r="CA12" s="27">
        <f t="shared" si="24"/>
        <v>0.5846324814397714</v>
      </c>
      <c r="CB12" s="139">
        <f t="shared" si="50"/>
        <v>17.538974443193144</v>
      </c>
      <c r="CD12" s="27">
        <f>IF(CJ11&lt;'DadosReais&amp;Graficos'!MinASW,'DadosReais&amp;Graficos'!MinASW,IF(CJ11&gt;'DadosReais&amp;Graficos'!MaxASW,'DadosReais&amp;Graficos'!MaxASW,CJ11))</f>
        <v>46.40230186582602</v>
      </c>
      <c r="CE12" s="25">
        <f t="shared" si="25"/>
        <v>0.09600000143051148</v>
      </c>
      <c r="CG12" s="27">
        <f t="shared" si="26"/>
        <v>47.04230187536276</v>
      </c>
      <c r="CH12" s="27">
        <f t="shared" si="51"/>
        <v>17.634974444623655</v>
      </c>
      <c r="CI12" s="27">
        <f>MAX(CG12-CH12-'DadosReais&amp;Graficos'!MaxASW,0)</f>
        <v>0</v>
      </c>
      <c r="CJ12" s="27">
        <f t="shared" si="63"/>
        <v>29.407327430739105</v>
      </c>
      <c r="CK12" s="27">
        <f>poolFractn*Month!CI12</f>
        <v>0</v>
      </c>
      <c r="CM12" s="53">
        <v>8</v>
      </c>
      <c r="CN12" s="55">
        <v>31</v>
      </c>
      <c r="CO12" s="55">
        <f t="shared" si="64"/>
        <v>228</v>
      </c>
      <c r="CQ12" s="25">
        <f>SIN(PI()*'DadosReais&amp;Graficos'!Lat/180)</f>
        <v>0.6293203910498374</v>
      </c>
      <c r="CR12" s="25">
        <f>COS(PI()*'DadosReais&amp;Graficos'!Lat/180)</f>
        <v>0.7771459614569709</v>
      </c>
      <c r="CS12" s="25">
        <f t="shared" si="65"/>
        <v>1981</v>
      </c>
      <c r="CT12" s="29">
        <f t="shared" si="66"/>
        <v>29587</v>
      </c>
      <c r="CU12" s="30">
        <f t="shared" si="52"/>
        <v>11</v>
      </c>
      <c r="CV12" s="27">
        <f t="shared" si="27"/>
        <v>319</v>
      </c>
      <c r="CW12" s="25">
        <f t="shared" si="67"/>
        <v>-0.3297749470179898</v>
      </c>
      <c r="CX12" s="25">
        <f t="shared" si="28"/>
        <v>0.2828703751751745</v>
      </c>
      <c r="CY12" s="25">
        <f t="shared" si="68"/>
        <v>0.40871337429266064</v>
      </c>
      <c r="CZ12" s="25">
        <f t="shared" si="69"/>
        <v>35312.835538885876</v>
      </c>
    </row>
    <row r="13" spans="1:104" ht="12.75">
      <c r="A13" s="149">
        <f t="shared" si="29"/>
        <v>29920</v>
      </c>
      <c r="B13" s="60">
        <f t="shared" si="0"/>
        <v>6.67</v>
      </c>
      <c r="C13" s="78">
        <f t="shared" si="53"/>
        <v>6.666666666666664</v>
      </c>
      <c r="D13" s="171">
        <f t="shared" si="30"/>
        <v>943010.0352212543</v>
      </c>
      <c r="E13" s="30">
        <f t="shared" si="70"/>
        <v>1111</v>
      </c>
      <c r="F13" s="27">
        <f t="shared" si="54"/>
        <v>6.385632543238182</v>
      </c>
      <c r="G13" s="27">
        <f t="shared" si="31"/>
        <v>16.436602118945142</v>
      </c>
      <c r="H13" s="27">
        <f t="shared" si="32"/>
        <v>58.27952762544359</v>
      </c>
      <c r="I13" s="27">
        <f t="shared" si="33"/>
        <v>64.66516016868178</v>
      </c>
      <c r="J13" s="27">
        <f t="shared" si="55"/>
        <v>81.10176228762691</v>
      </c>
      <c r="K13" s="27">
        <f t="shared" si="34"/>
        <v>4.050633773328212</v>
      </c>
      <c r="L13" s="27">
        <f t="shared" si="35"/>
        <v>2.58658588437043</v>
      </c>
      <c r="M13" s="27">
        <f t="shared" si="56"/>
        <v>0.6532173715059171</v>
      </c>
      <c r="O13" s="25">
        <f t="shared" si="36"/>
        <v>0.012999999999999918</v>
      </c>
      <c r="P13" s="25">
        <f t="shared" si="37"/>
        <v>0.08301322306209584</v>
      </c>
      <c r="Q13" s="25">
        <f t="shared" si="1"/>
        <v>0.16436602118945143</v>
      </c>
      <c r="S13" s="27">
        <f t="shared" si="57"/>
        <v>52.45682054495373</v>
      </c>
      <c r="T13" s="27">
        <f t="shared" si="2"/>
        <v>12.558514702458911</v>
      </c>
      <c r="U13" s="27">
        <f t="shared" si="3"/>
        <v>0.20952753944880753</v>
      </c>
      <c r="V13" s="27">
        <f t="shared" si="4"/>
        <v>0.45</v>
      </c>
      <c r="W13" s="27">
        <f t="shared" si="5"/>
        <v>102.3741368929902</v>
      </c>
      <c r="X13" s="27">
        <f t="shared" si="6"/>
        <v>15.356120533948534</v>
      </c>
      <c r="Y13" s="27">
        <f t="shared" si="7"/>
        <v>13.761966522046862</v>
      </c>
      <c r="AA13" s="24">
        <f t="shared" si="8"/>
        <v>0.8578217417112053</v>
      </c>
      <c r="AB13" s="23">
        <f t="shared" si="9"/>
        <v>0.821615245845189</v>
      </c>
      <c r="AC13" s="23">
        <f>IF('DadosReais&amp;Graficos'!soilClass&gt;0,0.8-0.1*'DadosReais&amp;Graficos'!soilClass,IF('DadosReais&amp;Graficos'!soilClass&lt;0,SWconst0,999))</f>
        <v>0.6000000000000001</v>
      </c>
      <c r="AD13" s="23">
        <f>IF('DadosReais&amp;Graficos'!soilClass&gt;0,11-2*'DadosReais&amp;Graficos'!soilClass,SWpower0)</f>
        <v>7</v>
      </c>
      <c r="AE13" s="24">
        <f>1/(1+((1-CD13/'DadosReais&amp;Graficos'!MaxASW)/AC13)^AD13)</f>
        <v>0.07852861937503501</v>
      </c>
      <c r="AF13" s="24">
        <f t="shared" si="58"/>
        <v>0.6</v>
      </c>
      <c r="AG13" s="27">
        <f t="shared" si="10"/>
        <v>1</v>
      </c>
      <c r="AH13" s="27">
        <f t="shared" si="11"/>
        <v>0.9</v>
      </c>
      <c r="AI13" s="27">
        <f t="shared" si="38"/>
        <v>0.9996121247749903</v>
      </c>
      <c r="AJ13" s="24">
        <f t="shared" si="39"/>
        <v>0.07849816006912522</v>
      </c>
      <c r="AM13" s="27">
        <f t="shared" si="40"/>
        <v>184.5299940109253</v>
      </c>
      <c r="AN13" s="27">
        <f t="shared" si="12"/>
        <v>1</v>
      </c>
      <c r="AO13" s="27">
        <f t="shared" si="41"/>
        <v>0.7256341768760755</v>
      </c>
      <c r="AP13" s="27">
        <f t="shared" si="59"/>
        <v>133.9012703130649</v>
      </c>
      <c r="AQ13" s="27">
        <f t="shared" si="60"/>
        <v>0.003333202705385288</v>
      </c>
      <c r="AR13" s="27">
        <f t="shared" si="42"/>
        <v>0.18399278933726787</v>
      </c>
      <c r="AS13" s="27">
        <f t="shared" si="43"/>
        <v>1</v>
      </c>
      <c r="AT13" s="25">
        <f t="shared" si="44"/>
        <v>0.2463686822070431</v>
      </c>
      <c r="AU13" s="25">
        <f t="shared" si="13"/>
        <v>0.11579328063731026</v>
      </c>
      <c r="AW13" s="25">
        <f t="shared" si="14"/>
        <v>0.6</v>
      </c>
      <c r="AX13" s="25">
        <f t="shared" si="45"/>
        <v>0.11479209262535704</v>
      </c>
      <c r="AY13" s="25">
        <f t="shared" si="46"/>
        <v>0.45049208074962027</v>
      </c>
      <c r="AZ13" s="25">
        <f t="shared" si="61"/>
        <v>0.4929241271852566</v>
      </c>
      <c r="BA13" s="25">
        <f t="shared" si="62"/>
        <v>0.056583792065123206</v>
      </c>
      <c r="BB13" s="25">
        <f t="shared" si="15"/>
        <v>0.006552022914120021</v>
      </c>
      <c r="BC13" s="25">
        <f t="shared" si="16"/>
        <v>0.05216395593112661</v>
      </c>
      <c r="BD13" s="25">
        <f t="shared" si="17"/>
        <v>0.05707730179206363</v>
      </c>
      <c r="BG13" s="76">
        <f t="shared" si="47"/>
        <v>29921</v>
      </c>
      <c r="BH13" s="30">
        <f t="shared" si="18"/>
        <v>31</v>
      </c>
      <c r="BI13" s="27">
        <f>'PSP-1 Metdata'!D14</f>
        <v>11.850000143051147</v>
      </c>
      <c r="BJ13" s="28">
        <f>'PSP-1 Metdata'!E14</f>
        <v>16.100000381469727</v>
      </c>
      <c r="BK13" s="28">
        <f>'PSP-1 Metdata'!F14</f>
        <v>7.599999904632568</v>
      </c>
      <c r="BL13" s="28">
        <f>'PSP-1 Metdata'!G14</f>
        <v>235.36000976562502</v>
      </c>
      <c r="BM13" s="28">
        <f>'PSP-1 Metdata'!I14</f>
        <v>5.952580451965332</v>
      </c>
      <c r="BN13" s="28">
        <f>'PSP-1 Metdata'!J14</f>
        <v>24</v>
      </c>
      <c r="BO13" s="28">
        <f>'PSP-1 Metdata'!K14</f>
        <v>3</v>
      </c>
      <c r="BP13" s="25">
        <f>'PSP-1 Metdata'!L14</f>
        <v>18.29757110766953</v>
      </c>
      <c r="BQ13" s="25">
        <f>'PSP-1 Metdata'!M14</f>
        <v>10.43824853754112</v>
      </c>
      <c r="BR13" s="25">
        <f>'PSP-1 Metdata'!N14</f>
        <v>3.9296612850642045</v>
      </c>
      <c r="BT13" s="25">
        <f t="shared" si="48"/>
        <v>33294.53956575766</v>
      </c>
      <c r="BU13" s="25">
        <f t="shared" si="19"/>
        <v>53.02838914972992</v>
      </c>
      <c r="BV13" s="25">
        <f t="shared" si="20"/>
        <v>0.2</v>
      </c>
      <c r="BW13" s="25">
        <f t="shared" si="21"/>
        <v>1443.0847981205861</v>
      </c>
      <c r="BX13" s="25">
        <f t="shared" si="22"/>
        <v>0.0012194728695726716</v>
      </c>
      <c r="BY13" s="25">
        <f t="shared" si="49"/>
        <v>167.20528867041062</v>
      </c>
      <c r="BZ13" s="25">
        <f t="shared" si="23"/>
        <v>9.328336840615806</v>
      </c>
      <c r="CA13" s="27">
        <f t="shared" si="24"/>
        <v>0.1262531219604056</v>
      </c>
      <c r="CB13" s="139">
        <f t="shared" si="50"/>
        <v>3.913846780772574</v>
      </c>
      <c r="CD13" s="27">
        <f>IF(CJ12&lt;'DadosReais&amp;Graficos'!MinASW,'DadosReais&amp;Graficos'!MinASW,IF(CJ12&gt;'DadosReais&amp;Graficos'!MaxASW,'DadosReais&amp;Graficos'!MaxASW,CJ12))</f>
        <v>29.407327430739105</v>
      </c>
      <c r="CE13" s="25">
        <f t="shared" si="25"/>
        <v>35.30400146484375</v>
      </c>
      <c r="CG13" s="27">
        <f t="shared" si="26"/>
        <v>264.7673371963641</v>
      </c>
      <c r="CH13" s="27">
        <f t="shared" si="51"/>
        <v>39.217848245616324</v>
      </c>
      <c r="CI13" s="27">
        <f>MAX(CG13-CH13-'DadosReais&amp;Graficos'!MaxASW,0)</f>
        <v>25.549488950747786</v>
      </c>
      <c r="CJ13" s="27">
        <f t="shared" si="63"/>
        <v>200</v>
      </c>
      <c r="CK13" s="27">
        <f>poolFractn*Month!CI13</f>
        <v>0</v>
      </c>
      <c r="CM13" s="53">
        <v>9</v>
      </c>
      <c r="CN13" s="55">
        <v>30</v>
      </c>
      <c r="CO13" s="55">
        <f t="shared" si="64"/>
        <v>258</v>
      </c>
      <c r="CQ13" s="25">
        <f>SIN(PI()*'DadosReais&amp;Graficos'!Lat/180)</f>
        <v>0.6293203910498374</v>
      </c>
      <c r="CR13" s="25">
        <f>COS(PI()*'DadosReais&amp;Graficos'!Lat/180)</f>
        <v>0.7771459614569709</v>
      </c>
      <c r="CS13" s="25">
        <f t="shared" si="65"/>
        <v>1981</v>
      </c>
      <c r="CT13" s="29">
        <f t="shared" si="66"/>
        <v>29587</v>
      </c>
      <c r="CU13" s="30">
        <f t="shared" si="52"/>
        <v>12</v>
      </c>
      <c r="CV13" s="27">
        <f t="shared" si="27"/>
        <v>350</v>
      </c>
      <c r="CW13" s="25">
        <f t="shared" si="67"/>
        <v>-0.39906495399591085</v>
      </c>
      <c r="CX13" s="25">
        <f t="shared" si="28"/>
        <v>0.352435862283474</v>
      </c>
      <c r="CY13" s="25">
        <f t="shared" si="68"/>
        <v>0.3853534671962692</v>
      </c>
      <c r="CZ13" s="25">
        <f t="shared" si="69"/>
        <v>33294.53956575766</v>
      </c>
    </row>
    <row r="14" spans="1:104" ht="12.75">
      <c r="A14" s="149">
        <f t="shared" si="29"/>
        <v>29950</v>
      </c>
      <c r="B14" s="60">
        <f>ROUND(C14,2)</f>
        <v>6.75</v>
      </c>
      <c r="C14" s="78">
        <f t="shared" si="53"/>
        <v>6.749999999999997</v>
      </c>
      <c r="D14" s="171">
        <f t="shared" si="30"/>
        <v>945386.4732382082</v>
      </c>
      <c r="E14" s="30">
        <f t="shared" si="70"/>
        <v>1111</v>
      </c>
      <c r="F14" s="27">
        <f t="shared" si="54"/>
        <v>6.309171343090205</v>
      </c>
      <c r="G14" s="27">
        <f t="shared" si="31"/>
        <v>16.32440005368682</v>
      </c>
      <c r="H14" s="27">
        <f t="shared" si="32"/>
        <v>58.336604927235655</v>
      </c>
      <c r="I14" s="27">
        <f t="shared" si="33"/>
        <v>64.64577627032585</v>
      </c>
      <c r="J14" s="27">
        <f t="shared" si="55"/>
        <v>80.97017632401268</v>
      </c>
      <c r="K14" s="27">
        <f t="shared" si="34"/>
        <v>4.044729018827379</v>
      </c>
      <c r="L14" s="27">
        <f t="shared" si="35"/>
        <v>2.5518888416151064</v>
      </c>
      <c r="M14" s="27">
        <f t="shared" si="56"/>
        <v>0.7362305945680129</v>
      </c>
      <c r="O14" s="25">
        <f t="shared" si="36"/>
        <v>0.012999999999999946</v>
      </c>
      <c r="P14" s="25">
        <f t="shared" si="37"/>
        <v>0.08201922746017233</v>
      </c>
      <c r="Q14" s="25">
        <f t="shared" si="1"/>
        <v>0.1632440005368682</v>
      </c>
      <c r="S14" s="27">
        <f t="shared" si="57"/>
        <v>52.508195254037496</v>
      </c>
      <c r="T14" s="27">
        <f t="shared" si="2"/>
        <v>12.563058215390502</v>
      </c>
      <c r="U14" s="27">
        <f t="shared" si="3"/>
        <v>0.20783290595279783</v>
      </c>
      <c r="V14" s="27">
        <f t="shared" si="4"/>
        <v>0.45</v>
      </c>
      <c r="W14" s="27">
        <f t="shared" si="5"/>
        <v>102.69408622619548</v>
      </c>
      <c r="X14" s="27">
        <f t="shared" si="6"/>
        <v>15.213938700177113</v>
      </c>
      <c r="Y14" s="27">
        <f t="shared" si="7"/>
        <v>13.771926136730952</v>
      </c>
      <c r="AA14" s="24">
        <f t="shared" si="8"/>
        <v>0.7331468929137992</v>
      </c>
      <c r="AB14" s="23">
        <f t="shared" si="9"/>
        <v>0.7952001263150243</v>
      </c>
      <c r="AC14" s="23">
        <f>IF('DadosReais&amp;Graficos'!soilClass&gt;0,0.8-0.1*'DadosReais&amp;Graficos'!soilClass,IF('DadosReais&amp;Graficos'!soilClass&lt;0,SWconst0,999))</f>
        <v>0.6000000000000001</v>
      </c>
      <c r="AD14" s="23">
        <f>IF('DadosReais&amp;Graficos'!soilClass&gt;0,11-2*'DadosReais&amp;Graficos'!soilClass,SWpower0)</f>
        <v>7</v>
      </c>
      <c r="AE14" s="24">
        <f>1/(1+((1-CD14/'DadosReais&amp;Graficos'!MaxASW)/AC14)^AD14)</f>
        <v>1</v>
      </c>
      <c r="AF14" s="24">
        <f t="shared" si="58"/>
        <v>0.6</v>
      </c>
      <c r="AG14" s="27">
        <f t="shared" si="10"/>
        <v>1</v>
      </c>
      <c r="AH14" s="27">
        <f t="shared" si="11"/>
        <v>0.8666666666666667</v>
      </c>
      <c r="AI14" s="27">
        <f t="shared" si="38"/>
        <v>0.9995923723958698</v>
      </c>
      <c r="AJ14" s="24">
        <f t="shared" si="39"/>
        <v>0.7948759807927306</v>
      </c>
      <c r="AM14" s="27">
        <f t="shared" si="40"/>
        <v>233.77999877929688</v>
      </c>
      <c r="AN14" s="27">
        <f t="shared" si="12"/>
        <v>1</v>
      </c>
      <c r="AO14" s="27">
        <f t="shared" si="41"/>
        <v>0.7208328076219523</v>
      </c>
      <c r="AP14" s="27">
        <f t="shared" si="59"/>
        <v>168.51629288593716</v>
      </c>
      <c r="AQ14" s="27">
        <f t="shared" si="60"/>
        <v>0.02777826744883663</v>
      </c>
      <c r="AR14" s="27">
        <f t="shared" si="42"/>
        <v>1.533360363175782</v>
      </c>
      <c r="AS14" s="27">
        <f t="shared" si="43"/>
        <v>1</v>
      </c>
      <c r="AT14" s="25">
        <f t="shared" si="44"/>
        <v>2.5839620406061705</v>
      </c>
      <c r="AU14" s="25">
        <f t="shared" si="13"/>
        <v>1.2144621590849</v>
      </c>
      <c r="AW14" s="25">
        <f t="shared" si="14"/>
        <v>0.6</v>
      </c>
      <c r="AX14" s="25">
        <f t="shared" si="45"/>
        <v>0.11477038327476353</v>
      </c>
      <c r="AY14" s="25">
        <f t="shared" si="46"/>
        <v>0.23664982904584866</v>
      </c>
      <c r="AZ14" s="25">
        <f t="shared" si="61"/>
        <v>0.6847600029628741</v>
      </c>
      <c r="BA14" s="25">
        <f t="shared" si="62"/>
        <v>0.07859016799127727</v>
      </c>
      <c r="BB14" s="25">
        <f t="shared" si="15"/>
        <v>0.09544478510153159</v>
      </c>
      <c r="BC14" s="25">
        <f t="shared" si="16"/>
        <v>0.28740226233009386</v>
      </c>
      <c r="BD14" s="25">
        <f t="shared" si="17"/>
        <v>0.8316151116532746</v>
      </c>
      <c r="BG14" s="76">
        <f t="shared" si="47"/>
        <v>29952</v>
      </c>
      <c r="BH14" s="30">
        <f t="shared" si="18"/>
        <v>31</v>
      </c>
      <c r="BI14" s="27">
        <f>'PSP-1 Metdata'!D15</f>
        <v>10.450000047683716</v>
      </c>
      <c r="BJ14" s="28">
        <f>'PSP-1 Metdata'!E15</f>
        <v>15.800000190734863</v>
      </c>
      <c r="BK14" s="28">
        <f>'PSP-1 Metdata'!F15</f>
        <v>5.099999904632568</v>
      </c>
      <c r="BL14" s="28">
        <f>'PSP-1 Metdata'!G15</f>
        <v>56</v>
      </c>
      <c r="BM14" s="28">
        <f>'PSP-1 Metdata'!I15</f>
        <v>7.541290283203125</v>
      </c>
      <c r="BN14" s="28">
        <f>'PSP-1 Metdata'!J15</f>
        <v>7</v>
      </c>
      <c r="BO14" s="28">
        <f>'PSP-1 Metdata'!K15</f>
        <v>4</v>
      </c>
      <c r="BP14" s="25">
        <f>'PSP-1 Metdata'!L15</f>
        <v>17.950174629365215</v>
      </c>
      <c r="BQ14" s="25">
        <f>'PSP-1 Metdata'!M15</f>
        <v>8.783716037648261</v>
      </c>
      <c r="BR14" s="25">
        <f>'PSP-1 Metdata'!N15</f>
        <v>4.583229295858477</v>
      </c>
      <c r="BT14" s="25">
        <f t="shared" si="48"/>
        <v>34557.10261977032</v>
      </c>
      <c r="BU14" s="25">
        <f t="shared" si="19"/>
        <v>84.58154096260859</v>
      </c>
      <c r="BV14" s="25">
        <f t="shared" si="20"/>
        <v>0.2</v>
      </c>
      <c r="BW14" s="25">
        <f t="shared" si="21"/>
        <v>1683.0937944429534</v>
      </c>
      <c r="BX14" s="25">
        <f t="shared" si="22"/>
        <v>0.012182793668785784</v>
      </c>
      <c r="BY14" s="25">
        <f t="shared" si="49"/>
        <v>19.616595851280906</v>
      </c>
      <c r="BZ14" s="25">
        <f t="shared" si="23"/>
        <v>95.28529815934607</v>
      </c>
      <c r="CA14" s="27">
        <f t="shared" si="24"/>
        <v>1.3385300108324933</v>
      </c>
      <c r="CB14" s="139">
        <f t="shared" si="50"/>
        <v>41.494430335807294</v>
      </c>
      <c r="CD14" s="27">
        <f>IF(CJ13&lt;'DadosReais&amp;Graficos'!MinASW,'DadosReais&amp;Graficos'!MinASW,IF(CJ13&gt;'DadosReais&amp;Graficos'!MaxASW,'DadosReais&amp;Graficos'!MaxASW,CJ13))</f>
        <v>200</v>
      </c>
      <c r="CE14" s="25">
        <f t="shared" si="25"/>
        <v>8.4</v>
      </c>
      <c r="CG14" s="27">
        <f t="shared" si="26"/>
        <v>256</v>
      </c>
      <c r="CH14" s="27">
        <f t="shared" si="51"/>
        <v>49.89443033580729</v>
      </c>
      <c r="CI14" s="27">
        <f>MAX(CG14-CH14-'DadosReais&amp;Graficos'!MaxASW,0)</f>
        <v>6.1055696641927</v>
      </c>
      <c r="CJ14" s="27">
        <f t="shared" si="63"/>
        <v>200</v>
      </c>
      <c r="CK14" s="27">
        <f>poolFractn*Month!CI14</f>
        <v>0</v>
      </c>
      <c r="CM14" s="53">
        <v>10</v>
      </c>
      <c r="CN14" s="55">
        <v>31</v>
      </c>
      <c r="CO14" s="55">
        <f t="shared" si="64"/>
        <v>289</v>
      </c>
      <c r="CQ14" s="25">
        <f>SIN(PI()*'DadosReais&amp;Graficos'!Lat/180)</f>
        <v>0.6293203910498374</v>
      </c>
      <c r="CR14" s="25">
        <f>COS(PI()*'DadosReais&amp;Graficos'!Lat/180)</f>
        <v>0.7771459614569709</v>
      </c>
      <c r="CS14" s="25">
        <f t="shared" si="65"/>
        <v>1981</v>
      </c>
      <c r="CT14" s="29">
        <f t="shared" si="66"/>
        <v>29587</v>
      </c>
      <c r="CU14" s="30">
        <f t="shared" si="52"/>
        <v>1</v>
      </c>
      <c r="CV14" s="27">
        <f t="shared" si="27"/>
        <v>16</v>
      </c>
      <c r="CW14" s="25">
        <f t="shared" si="67"/>
        <v>-0.3566279806934116</v>
      </c>
      <c r="CX14" s="25">
        <f t="shared" si="28"/>
        <v>0.30911718809788097</v>
      </c>
      <c r="CY14" s="25">
        <f t="shared" si="68"/>
        <v>0.39996646550660087</v>
      </c>
      <c r="CZ14" s="25">
        <f t="shared" si="69"/>
        <v>34557.10261977032</v>
      </c>
    </row>
    <row r="15" spans="1:104" ht="12.75">
      <c r="A15" s="149">
        <f t="shared" si="29"/>
        <v>29981</v>
      </c>
      <c r="B15" s="60">
        <f aca="true" t="shared" si="71" ref="B15:B68">ROUND(C15,2)</f>
        <v>6.83</v>
      </c>
      <c r="C15" s="78">
        <f t="shared" si="53"/>
        <v>6.83333333333333</v>
      </c>
      <c r="D15" s="171">
        <f t="shared" si="30"/>
        <v>928110.4462591453</v>
      </c>
      <c r="E15" s="30">
        <f t="shared" si="70"/>
        <v>1111</v>
      </c>
      <c r="F15" s="27">
        <f t="shared" si="54"/>
        <v>6.322596900731565</v>
      </c>
      <c r="G15" s="27">
        <f t="shared" si="31"/>
        <v>16.448558315480046</v>
      </c>
      <c r="H15" s="27">
        <f t="shared" si="32"/>
        <v>59.16822003888893</v>
      </c>
      <c r="I15" s="27">
        <f t="shared" si="33"/>
        <v>65.4908169396205</v>
      </c>
      <c r="J15" s="27">
        <f t="shared" si="55"/>
        <v>81.93937525510054</v>
      </c>
      <c r="K15" s="27">
        <f t="shared" si="34"/>
        <v>4.0394520427119005</v>
      </c>
      <c r="L15" s="27">
        <f t="shared" si="35"/>
        <v>2.5539826965904053</v>
      </c>
      <c r="M15" s="27">
        <f t="shared" si="56"/>
        <v>0.8182498220281852</v>
      </c>
      <c r="O15" s="25">
        <f t="shared" si="36"/>
        <v>0.012999999999999965</v>
      </c>
      <c r="P15" s="25">
        <f t="shared" si="37"/>
        <v>0.08219375970951012</v>
      </c>
      <c r="Q15" s="25">
        <f t="shared" si="1"/>
        <v>0.16448558315480047</v>
      </c>
      <c r="S15" s="27">
        <f t="shared" si="57"/>
        <v>53.25672370737078</v>
      </c>
      <c r="T15" s="27">
        <f t="shared" si="2"/>
        <v>12.628941567505596</v>
      </c>
      <c r="U15" s="27">
        <f t="shared" si="3"/>
        <v>0.2061865153828756</v>
      </c>
      <c r="V15" s="27">
        <f t="shared" si="4"/>
        <v>0.45</v>
      </c>
      <c r="W15" s="27">
        <f t="shared" si="5"/>
        <v>104.37451317258487</v>
      </c>
      <c r="X15" s="27">
        <f t="shared" si="6"/>
        <v>15.274319000866084</v>
      </c>
      <c r="Y15" s="27">
        <f t="shared" si="7"/>
        <v>13.91675071481892</v>
      </c>
      <c r="AA15" s="24">
        <f t="shared" si="8"/>
        <v>0.7780943574544125</v>
      </c>
      <c r="AB15" s="23">
        <f t="shared" si="9"/>
        <v>0.8029341637416427</v>
      </c>
      <c r="AC15" s="23">
        <f>IF('DadosReais&amp;Graficos'!soilClass&gt;0,0.8-0.1*'DadosReais&amp;Graficos'!soilClass,IF('DadosReais&amp;Graficos'!soilClass&lt;0,SWconst0,999))</f>
        <v>0.6000000000000001</v>
      </c>
      <c r="AD15" s="23">
        <f>IF('DadosReais&amp;Graficos'!soilClass&gt;0,11-2*'DadosReais&amp;Graficos'!soilClass,SWpower0)</f>
        <v>7</v>
      </c>
      <c r="AE15" s="24">
        <f>1/(1+((1-CD15/'DadosReais&amp;Graficos'!MaxASW)/AC15)^AD15)</f>
        <v>1</v>
      </c>
      <c r="AF15" s="24">
        <f t="shared" si="58"/>
        <v>0.6</v>
      </c>
      <c r="AG15" s="27">
        <f t="shared" si="10"/>
        <v>1</v>
      </c>
      <c r="AH15" s="27">
        <f t="shared" si="11"/>
        <v>0.9666666666666667</v>
      </c>
      <c r="AI15" s="27">
        <f t="shared" si="38"/>
        <v>0.9995718755657306</v>
      </c>
      <c r="AJ15" s="24">
        <f t="shared" si="39"/>
        <v>0.8025904080070353</v>
      </c>
      <c r="AM15" s="27">
        <f t="shared" si="40"/>
        <v>335.7999954223633</v>
      </c>
      <c r="AN15" s="27">
        <f t="shared" si="12"/>
        <v>1</v>
      </c>
      <c r="AO15" s="27">
        <f t="shared" si="41"/>
        <v>0.7211249224910787</v>
      </c>
      <c r="AP15" s="27">
        <f t="shared" si="59"/>
        <v>242.1537456714563</v>
      </c>
      <c r="AQ15" s="27">
        <f t="shared" si="60"/>
        <v>0.03320210843895359</v>
      </c>
      <c r="AR15" s="27">
        <f t="shared" si="42"/>
        <v>1.832756385830238</v>
      </c>
      <c r="AS15" s="27">
        <f t="shared" si="43"/>
        <v>1</v>
      </c>
      <c r="AT15" s="25">
        <f t="shared" si="44"/>
        <v>4.438088237320729</v>
      </c>
      <c r="AU15" s="25">
        <f t="shared" si="13"/>
        <v>2.0859014715407422</v>
      </c>
      <c r="AW15" s="25">
        <f t="shared" si="14"/>
        <v>0.6</v>
      </c>
      <c r="AX15" s="25">
        <f t="shared" si="45"/>
        <v>0.11445692401440752</v>
      </c>
      <c r="AY15" s="25">
        <f t="shared" si="46"/>
        <v>0.23544629115991209</v>
      </c>
      <c r="AZ15" s="25">
        <f t="shared" si="61"/>
        <v>0.6860325350988656</v>
      </c>
      <c r="BA15" s="25">
        <f t="shared" si="62"/>
        <v>0.07852117374122225</v>
      </c>
      <c r="BB15" s="25">
        <f t="shared" si="15"/>
        <v>0.16378743185392178</v>
      </c>
      <c r="BC15" s="25">
        <f t="shared" si="16"/>
        <v>0.4911177651992707</v>
      </c>
      <c r="BD15" s="25">
        <f t="shared" si="17"/>
        <v>1.4309962744875497</v>
      </c>
      <c r="BG15" s="76">
        <f t="shared" si="47"/>
        <v>29983</v>
      </c>
      <c r="BH15" s="30">
        <f t="shared" si="18"/>
        <v>28</v>
      </c>
      <c r="BI15" s="27">
        <f>'PSP-1 Metdata'!D16</f>
        <v>10.899999856948853</v>
      </c>
      <c r="BJ15" s="28">
        <f>'PSP-1 Metdata'!E16</f>
        <v>15.899999618530273</v>
      </c>
      <c r="BK15" s="28">
        <f>'PSP-1 Metdata'!F16</f>
        <v>5.900000095367432</v>
      </c>
      <c r="BL15" s="28">
        <f>'PSP-1 Metdata'!G16</f>
        <v>82.95999755859376</v>
      </c>
      <c r="BM15" s="28">
        <f>'PSP-1 Metdata'!I16</f>
        <v>11.992856979370117</v>
      </c>
      <c r="BN15" s="28">
        <f>'PSP-1 Metdata'!J16</f>
        <v>11</v>
      </c>
      <c r="BO15" s="28">
        <f>'PSP-1 Metdata'!K16</f>
        <v>1</v>
      </c>
      <c r="BP15" s="25">
        <f>'PSP-1 Metdata'!L16</f>
        <v>18.06532479379342</v>
      </c>
      <c r="BQ15" s="25">
        <f>'PSP-1 Metdata'!M16</f>
        <v>9.286022543193244</v>
      </c>
      <c r="BR15" s="25">
        <f>'PSP-1 Metdata'!N16</f>
        <v>4.389651125300087</v>
      </c>
      <c r="BT15" s="25">
        <f t="shared" si="48"/>
        <v>37850.90307676919</v>
      </c>
      <c r="BU15" s="25">
        <f t="shared" si="19"/>
        <v>163.47573779248984</v>
      </c>
      <c r="BV15" s="25">
        <f t="shared" si="20"/>
        <v>0.2</v>
      </c>
      <c r="BW15" s="25">
        <f t="shared" si="21"/>
        <v>1612.006315162601</v>
      </c>
      <c r="BX15" s="25">
        <f t="shared" si="22"/>
        <v>0.012311123210206616</v>
      </c>
      <c r="BY15" s="25">
        <f t="shared" si="49"/>
        <v>19.44547139892067</v>
      </c>
      <c r="BZ15" s="25">
        <f t="shared" si="23"/>
        <v>101.39393886925858</v>
      </c>
      <c r="CA15" s="27">
        <f t="shared" si="24"/>
        <v>1.5601025011025067</v>
      </c>
      <c r="CB15" s="139">
        <f t="shared" si="50"/>
        <v>43.68287003087019</v>
      </c>
      <c r="CD15" s="27">
        <f>IF(CJ14&lt;'DadosReais&amp;Graficos'!MinASW,'DadosReais&amp;Graficos'!MinASW,IF(CJ14&gt;'DadosReais&amp;Graficos'!MaxASW,'DadosReais&amp;Graficos'!MaxASW,CJ14))</f>
        <v>200</v>
      </c>
      <c r="CE15" s="25">
        <f t="shared" si="25"/>
        <v>12.443999633789064</v>
      </c>
      <c r="CG15" s="27">
        <f t="shared" si="26"/>
        <v>282.9599975585937</v>
      </c>
      <c r="CH15" s="27">
        <f t="shared" si="51"/>
        <v>56.12686966465925</v>
      </c>
      <c r="CI15" s="27">
        <f>MAX(CG15-CH15-'DadosReais&amp;Graficos'!MaxASW,0)</f>
        <v>26.83312789393449</v>
      </c>
      <c r="CJ15" s="27">
        <f t="shared" si="63"/>
        <v>200</v>
      </c>
      <c r="CK15" s="27">
        <f>poolFractn*Month!CI15</f>
        <v>0</v>
      </c>
      <c r="CM15" s="53">
        <v>11</v>
      </c>
      <c r="CN15" s="55">
        <v>30</v>
      </c>
      <c r="CO15" s="55">
        <f t="shared" si="64"/>
        <v>319</v>
      </c>
      <c r="CQ15" s="25">
        <f>SIN(PI()*'DadosReais&amp;Graficos'!Lat/180)</f>
        <v>0.6293203910498374</v>
      </c>
      <c r="CR15" s="25">
        <f>COS(PI()*'DadosReais&amp;Graficos'!Lat/180)</f>
        <v>0.7771459614569709</v>
      </c>
      <c r="CS15" s="25">
        <f t="shared" si="65"/>
        <v>1982</v>
      </c>
      <c r="CT15" s="29">
        <f t="shared" si="66"/>
        <v>29952</v>
      </c>
      <c r="CU15" s="30">
        <f t="shared" si="52"/>
        <v>2</v>
      </c>
      <c r="CV15" s="27">
        <f t="shared" si="27"/>
        <v>44</v>
      </c>
      <c r="CW15" s="25">
        <f t="shared" si="67"/>
        <v>-0.2321535487640738</v>
      </c>
      <c r="CX15" s="25">
        <f t="shared" si="28"/>
        <v>0.19327466507755395</v>
      </c>
      <c r="CY15" s="25">
        <f t="shared" si="68"/>
        <v>0.43808915598112486</v>
      </c>
      <c r="CZ15" s="25">
        <f t="shared" si="69"/>
        <v>37850.90307676919</v>
      </c>
    </row>
    <row r="16" spans="1:104" ht="12.75">
      <c r="A16" s="149">
        <f t="shared" si="29"/>
        <v>30010</v>
      </c>
      <c r="B16" s="60">
        <f t="shared" si="71"/>
        <v>6.92</v>
      </c>
      <c r="C16" s="78">
        <f t="shared" si="53"/>
        <v>6.916666666666663</v>
      </c>
      <c r="D16" s="171">
        <f t="shared" si="30"/>
        <v>896720.2636190717</v>
      </c>
      <c r="E16" s="30">
        <f t="shared" si="70"/>
        <v>1111</v>
      </c>
      <c r="F16" s="27">
        <f t="shared" si="54"/>
        <v>6.404190572875977</v>
      </c>
      <c r="G16" s="27">
        <f t="shared" si="31"/>
        <v>16.775190497524516</v>
      </c>
      <c r="H16" s="27">
        <f t="shared" si="32"/>
        <v>60.59921631337648</v>
      </c>
      <c r="I16" s="27">
        <f t="shared" si="33"/>
        <v>67.00340688625246</v>
      </c>
      <c r="J16" s="27">
        <f t="shared" si="55"/>
        <v>83.77859738377697</v>
      </c>
      <c r="K16" s="27">
        <f t="shared" si="34"/>
        <v>4.034744067660029</v>
      </c>
      <c r="L16" s="27">
        <f t="shared" si="35"/>
        <v>2.583926992207563</v>
      </c>
      <c r="M16" s="27">
        <f t="shared" si="56"/>
        <v>0.9004435817376953</v>
      </c>
      <c r="O16" s="25">
        <f t="shared" si="36"/>
        <v>0.012999999999999977</v>
      </c>
      <c r="P16" s="25">
        <f t="shared" si="37"/>
        <v>0.08325447744738755</v>
      </c>
      <c r="Q16" s="25">
        <f t="shared" si="1"/>
        <v>0.16775190497524517</v>
      </c>
      <c r="S16" s="27">
        <f t="shared" si="57"/>
        <v>54.54474915695453</v>
      </c>
      <c r="T16" s="27">
        <f t="shared" si="2"/>
        <v>12.74095663111941</v>
      </c>
      <c r="U16" s="27">
        <f t="shared" si="3"/>
        <v>0.2045869943565821</v>
      </c>
      <c r="V16" s="27">
        <f t="shared" si="4"/>
        <v>0.45</v>
      </c>
      <c r="W16" s="27">
        <f t="shared" si="5"/>
        <v>107.11423286101873</v>
      </c>
      <c r="X16" s="27">
        <f t="shared" si="6"/>
        <v>15.486395112436451</v>
      </c>
      <c r="Y16" s="27">
        <f t="shared" si="7"/>
        <v>14.164720687796608</v>
      </c>
      <c r="AA16" s="24">
        <f t="shared" si="8"/>
        <v>0.8720968824946828</v>
      </c>
      <c r="AB16" s="23">
        <f t="shared" si="9"/>
        <v>0.7443757226865974</v>
      </c>
      <c r="AC16" s="23">
        <f>IF('DadosReais&amp;Graficos'!soilClass&gt;0,0.8-0.1*'DadosReais&amp;Graficos'!soilClass,IF('DadosReais&amp;Graficos'!soilClass&lt;0,SWconst0,999))</f>
        <v>0.6000000000000001</v>
      </c>
      <c r="AD16" s="23">
        <f>IF('DadosReais&amp;Graficos'!soilClass&gt;0,11-2*'DadosReais&amp;Graficos'!soilClass,SWpower0)</f>
        <v>7</v>
      </c>
      <c r="AE16" s="24">
        <f>1/(1+((1-CD16/'DadosReais&amp;Graficos'!MaxASW)/AC16)^AD16)</f>
        <v>1</v>
      </c>
      <c r="AF16" s="24">
        <f t="shared" si="58"/>
        <v>0.6</v>
      </c>
      <c r="AG16" s="27">
        <f t="shared" si="10"/>
        <v>1</v>
      </c>
      <c r="AH16" s="27">
        <f t="shared" si="11"/>
        <v>0.9666666666666667</v>
      </c>
      <c r="AI16" s="27">
        <f t="shared" si="38"/>
        <v>0.9995506158631154</v>
      </c>
      <c r="AJ16" s="24">
        <f t="shared" si="39"/>
        <v>0.74404121204494</v>
      </c>
      <c r="AM16" s="27">
        <f t="shared" si="40"/>
        <v>528.7699909210205</v>
      </c>
      <c r="AN16" s="27">
        <f t="shared" si="12"/>
        <v>1</v>
      </c>
      <c r="AO16" s="27">
        <f t="shared" si="41"/>
        <v>0.7252691797393964</v>
      </c>
      <c r="AP16" s="27">
        <f t="shared" si="59"/>
        <v>383.50057758609665</v>
      </c>
      <c r="AQ16" s="27">
        <f t="shared" si="60"/>
        <v>0.0344985751415924</v>
      </c>
      <c r="AR16" s="27">
        <f t="shared" si="42"/>
        <v>1.9043213478159005</v>
      </c>
      <c r="AS16" s="27">
        <f t="shared" si="43"/>
        <v>1</v>
      </c>
      <c r="AT16" s="25">
        <f t="shared" si="44"/>
        <v>7.303083367969319</v>
      </c>
      <c r="AU16" s="25">
        <f t="shared" si="13"/>
        <v>3.4324491829455797</v>
      </c>
      <c r="AW16" s="25">
        <f t="shared" si="14"/>
        <v>0.6</v>
      </c>
      <c r="AX16" s="25">
        <f t="shared" si="45"/>
        <v>0.11392965612248977</v>
      </c>
      <c r="AY16" s="25">
        <f t="shared" si="46"/>
        <v>0.24489903511654712</v>
      </c>
      <c r="AZ16" s="25">
        <f t="shared" si="61"/>
        <v>0.6778713186539138</v>
      </c>
      <c r="BA16" s="25">
        <f t="shared" si="62"/>
        <v>0.0772296462295391</v>
      </c>
      <c r="BB16" s="25">
        <f t="shared" si="15"/>
        <v>0.26508683609975764</v>
      </c>
      <c r="BC16" s="25">
        <f t="shared" si="16"/>
        <v>0.840603492989953</v>
      </c>
      <c r="BD16" s="25">
        <f t="shared" si="17"/>
        <v>2.326758853855869</v>
      </c>
      <c r="BG16" s="76">
        <f t="shared" si="47"/>
        <v>30011</v>
      </c>
      <c r="BH16" s="30">
        <f t="shared" si="18"/>
        <v>31</v>
      </c>
      <c r="BI16" s="27">
        <f>'PSP-1 Metdata'!D17</f>
        <v>12.049999713897705</v>
      </c>
      <c r="BJ16" s="28">
        <f>'PSP-1 Metdata'!E17</f>
        <v>18.299999237060547</v>
      </c>
      <c r="BK16" s="28">
        <f>'PSP-1 Metdata'!F17</f>
        <v>5.800000190734863</v>
      </c>
      <c r="BL16" s="28">
        <f>'PSP-1 Metdata'!G17</f>
        <v>9.91999969482422</v>
      </c>
      <c r="BM16" s="28">
        <f>'PSP-1 Metdata'!I17</f>
        <v>17.057096481323242</v>
      </c>
      <c r="BN16" s="28">
        <f>'PSP-1 Metdata'!J17</f>
        <v>3</v>
      </c>
      <c r="BO16" s="28">
        <f>'PSP-1 Metdata'!K17</f>
        <v>1</v>
      </c>
      <c r="BP16" s="25">
        <f>'PSP-1 Metdata'!L17</f>
        <v>21.03025541539633</v>
      </c>
      <c r="BQ16" s="25">
        <f>'PSP-1 Metdata'!M17</f>
        <v>9.22188069501885</v>
      </c>
      <c r="BR16" s="25">
        <f>'PSP-1 Metdata'!N17</f>
        <v>5.90418736018874</v>
      </c>
      <c r="BT16" s="25">
        <f t="shared" si="48"/>
        <v>42434.28237611158</v>
      </c>
      <c r="BU16" s="25">
        <f t="shared" si="19"/>
        <v>231.57200312972515</v>
      </c>
      <c r="BV16" s="25">
        <f t="shared" si="20"/>
        <v>0.2</v>
      </c>
      <c r="BW16" s="25">
        <f t="shared" si="21"/>
        <v>2168.187639257279</v>
      </c>
      <c r="BX16" s="25">
        <f t="shared" si="22"/>
        <v>0.011546835862569079</v>
      </c>
      <c r="BY16" s="25">
        <f t="shared" si="49"/>
        <v>20.520762361257088</v>
      </c>
      <c r="BZ16" s="25">
        <f t="shared" si="23"/>
        <v>130.48472561614147</v>
      </c>
      <c r="CA16" s="27">
        <f t="shared" si="24"/>
        <v>2.2508234522621087</v>
      </c>
      <c r="CB16" s="139">
        <f t="shared" si="50"/>
        <v>69.77552702012537</v>
      </c>
      <c r="CD16" s="27">
        <f>IF(CJ15&lt;'DadosReais&amp;Graficos'!MinASW,'DadosReais&amp;Graficos'!MinASW,IF(CJ15&gt;'DadosReais&amp;Graficos'!MaxASW,'DadosReais&amp;Graficos'!MaxASW,CJ15))</f>
        <v>200</v>
      </c>
      <c r="CE16" s="25">
        <f t="shared" si="25"/>
        <v>1.487999954223633</v>
      </c>
      <c r="CG16" s="27">
        <f t="shared" si="26"/>
        <v>209.9199996948242</v>
      </c>
      <c r="CH16" s="27">
        <f t="shared" si="51"/>
        <v>71.263526974349</v>
      </c>
      <c r="CI16" s="27">
        <f>MAX(CG16-CH16-'DadosReais&amp;Graficos'!MaxASW,0)</f>
        <v>0</v>
      </c>
      <c r="CJ16" s="27">
        <f t="shared" si="63"/>
        <v>138.65647272047522</v>
      </c>
      <c r="CK16" s="27">
        <f>poolFractn*Month!CI16</f>
        <v>0</v>
      </c>
      <c r="CM16" s="54">
        <v>12</v>
      </c>
      <c r="CN16" s="56">
        <v>31</v>
      </c>
      <c r="CO16" s="56">
        <f t="shared" si="64"/>
        <v>350</v>
      </c>
      <c r="CQ16" s="25">
        <f>SIN(PI()*'DadosReais&amp;Graficos'!Lat/180)</f>
        <v>0.6293203910498374</v>
      </c>
      <c r="CR16" s="25">
        <f>COS(PI()*'DadosReais&amp;Graficos'!Lat/180)</f>
        <v>0.7771459614569709</v>
      </c>
      <c r="CS16" s="25">
        <f t="shared" si="65"/>
        <v>1982</v>
      </c>
      <c r="CT16" s="29">
        <f t="shared" si="66"/>
        <v>29952</v>
      </c>
      <c r="CU16" s="30">
        <f t="shared" si="52"/>
        <v>3</v>
      </c>
      <c r="CV16" s="27">
        <f t="shared" si="27"/>
        <v>75</v>
      </c>
      <c r="CW16" s="25">
        <f t="shared" si="67"/>
        <v>-0.03435761194480621</v>
      </c>
      <c r="CX16" s="25">
        <f t="shared" si="28"/>
        <v>0.027838681446559606</v>
      </c>
      <c r="CY16" s="25">
        <f t="shared" si="68"/>
        <v>0.49113752750129147</v>
      </c>
      <c r="CZ16" s="25">
        <f t="shared" si="69"/>
        <v>42434.28237611158</v>
      </c>
    </row>
    <row r="17" spans="1:104" ht="12.75">
      <c r="A17" s="149">
        <f t="shared" si="29"/>
        <v>30038</v>
      </c>
      <c r="B17" s="60">
        <f t="shared" si="71"/>
        <v>7</v>
      </c>
      <c r="C17" s="78">
        <f t="shared" si="53"/>
        <v>6.9999999999999964</v>
      </c>
      <c r="D17" s="171">
        <f t="shared" si="30"/>
        <v>846384.4612871946</v>
      </c>
      <c r="E17" s="30">
        <f t="shared" si="70"/>
        <v>1111</v>
      </c>
      <c r="F17" s="27">
        <f t="shared" si="54"/>
        <v>6.586022931528347</v>
      </c>
      <c r="G17" s="27">
        <f t="shared" si="31"/>
        <v>17.448042085539225</v>
      </c>
      <c r="H17" s="27">
        <f t="shared" si="32"/>
        <v>62.92597516723235</v>
      </c>
      <c r="I17" s="27">
        <f t="shared" si="33"/>
        <v>69.5119980987607</v>
      </c>
      <c r="J17" s="27">
        <f t="shared" si="55"/>
        <v>86.96004018429993</v>
      </c>
      <c r="K17" s="27">
        <f t="shared" si="34"/>
        <v>4.030550820181663</v>
      </c>
      <c r="L17" s="27">
        <f t="shared" si="35"/>
        <v>2.6545300128406817</v>
      </c>
      <c r="M17" s="27">
        <f t="shared" si="56"/>
        <v>0.9836980591850829</v>
      </c>
      <c r="O17" s="25">
        <f t="shared" si="36"/>
        <v>0.012999999999999986</v>
      </c>
      <c r="P17" s="25">
        <f t="shared" si="37"/>
        <v>0.08561829810986842</v>
      </c>
      <c r="Q17" s="25">
        <f t="shared" si="1"/>
        <v>0.17448042085539225</v>
      </c>
      <c r="S17" s="27">
        <f t="shared" si="57"/>
        <v>56.63904155466459</v>
      </c>
      <c r="T17" s="27">
        <f t="shared" si="2"/>
        <v>12.919583215887034</v>
      </c>
      <c r="U17" s="27">
        <f t="shared" si="3"/>
        <v>0.20303300858899115</v>
      </c>
      <c r="V17" s="27">
        <f t="shared" si="4"/>
        <v>0.45</v>
      </c>
      <c r="W17" s="27">
        <f t="shared" si="5"/>
        <v>111.44427802362895</v>
      </c>
      <c r="X17" s="27">
        <f t="shared" si="6"/>
        <v>15.920611146232716</v>
      </c>
      <c r="Y17" s="27">
        <f t="shared" si="7"/>
        <v>14.56468001025056</v>
      </c>
      <c r="AA17" s="24">
        <f t="shared" si="8"/>
        <v>0.9819466720826885</v>
      </c>
      <c r="AB17" s="23">
        <f t="shared" si="9"/>
        <v>0.6970031386025005</v>
      </c>
      <c r="AC17" s="23">
        <f>IF('DadosReais&amp;Graficos'!soilClass&gt;0,0.8-0.1*'DadosReais&amp;Graficos'!soilClass,IF('DadosReais&amp;Graficos'!soilClass&lt;0,SWconst0,999))</f>
        <v>0.6000000000000001</v>
      </c>
      <c r="AD17" s="23">
        <f>IF('DadosReais&amp;Graficos'!soilClass&gt;0,11-2*'DadosReais&amp;Graficos'!soilClass,SWpower0)</f>
        <v>7</v>
      </c>
      <c r="AE17" s="24">
        <f>1/(1+((1-CD17/'DadosReais&amp;Graficos'!MaxASW)/AC17)^AD17)</f>
        <v>0.9909599962214847</v>
      </c>
      <c r="AF17" s="24">
        <f t="shared" si="58"/>
        <v>0.6</v>
      </c>
      <c r="AG17" s="27">
        <f t="shared" si="10"/>
        <v>1</v>
      </c>
      <c r="AH17" s="27">
        <f t="shared" si="11"/>
        <v>1</v>
      </c>
      <c r="AI17" s="27">
        <f t="shared" si="38"/>
        <v>0.9995285746460066</v>
      </c>
      <c r="AJ17" s="24">
        <f t="shared" si="39"/>
        <v>0.6966745536511504</v>
      </c>
      <c r="AM17" s="27">
        <f t="shared" si="40"/>
        <v>646.7700004577637</v>
      </c>
      <c r="AN17" s="27">
        <f t="shared" si="12"/>
        <v>1</v>
      </c>
      <c r="AO17" s="27">
        <f t="shared" si="41"/>
        <v>0.7347984050160801</v>
      </c>
      <c r="AP17" s="27">
        <f t="shared" si="59"/>
        <v>475.24556474861413</v>
      </c>
      <c r="AQ17" s="27">
        <f t="shared" si="60"/>
        <v>0.03762534927153417</v>
      </c>
      <c r="AR17" s="27">
        <f t="shared" si="42"/>
        <v>2.076919279788686</v>
      </c>
      <c r="AS17" s="27">
        <f t="shared" si="43"/>
        <v>1</v>
      </c>
      <c r="AT17" s="25">
        <f t="shared" si="44"/>
        <v>9.870466760604591</v>
      </c>
      <c r="AU17" s="25">
        <f t="shared" si="13"/>
        <v>4.639119377484158</v>
      </c>
      <c r="AW17" s="25">
        <f t="shared" si="14"/>
        <v>0.6</v>
      </c>
      <c r="AX17" s="25">
        <f t="shared" si="45"/>
        <v>0.11310328474509844</v>
      </c>
      <c r="AY17" s="25">
        <f t="shared" si="46"/>
        <v>0.2531204210768308</v>
      </c>
      <c r="AZ17" s="25">
        <f t="shared" si="61"/>
        <v>0.6709885678705956</v>
      </c>
      <c r="BA17" s="25">
        <f t="shared" si="62"/>
        <v>0.07589101105257368</v>
      </c>
      <c r="BB17" s="25">
        <f t="shared" si="15"/>
        <v>0.3520674599508589</v>
      </c>
      <c r="BC17" s="25">
        <f t="shared" si="16"/>
        <v>1.174255850254475</v>
      </c>
      <c r="BD17" s="25">
        <f t="shared" si="17"/>
        <v>3.1127960672788237</v>
      </c>
      <c r="BG17" s="76">
        <f t="shared" si="47"/>
        <v>30042</v>
      </c>
      <c r="BH17" s="30">
        <f t="shared" si="18"/>
        <v>30</v>
      </c>
      <c r="BI17" s="27">
        <f>'PSP-1 Metdata'!D18</f>
        <v>14.450000286102295</v>
      </c>
      <c r="BJ17" s="28">
        <f>'PSP-1 Metdata'!E18</f>
        <v>21.100000381469727</v>
      </c>
      <c r="BK17" s="28">
        <f>'PSP-1 Metdata'!F18</f>
        <v>7.800000190734863</v>
      </c>
      <c r="BL17" s="28">
        <f>'PSP-1 Metdata'!G18</f>
        <v>34.560000610351565</v>
      </c>
      <c r="BM17" s="28">
        <f>'PSP-1 Metdata'!I18</f>
        <v>21.55900001525879</v>
      </c>
      <c r="BN17" s="28">
        <f>'PSP-1 Metdata'!J18</f>
        <v>6</v>
      </c>
      <c r="BO17" s="28">
        <f>'PSP-1 Metdata'!K18</f>
        <v>0</v>
      </c>
      <c r="BP17" s="25">
        <f>'PSP-1 Metdata'!L18</f>
        <v>25.020365626527234</v>
      </c>
      <c r="BQ17" s="25">
        <f>'PSP-1 Metdata'!M18</f>
        <v>10.581751017917167</v>
      </c>
      <c r="BR17" s="25">
        <f>'PSP-1 Metdata'!N18</f>
        <v>7.219307304305033</v>
      </c>
      <c r="BT17" s="25">
        <f t="shared" si="48"/>
        <v>46978.19870062779</v>
      </c>
      <c r="BU17" s="25">
        <f t="shared" si="19"/>
        <v>277.13199929431414</v>
      </c>
      <c r="BV17" s="25">
        <f t="shared" si="20"/>
        <v>0.2</v>
      </c>
      <c r="BW17" s="25">
        <f t="shared" si="21"/>
        <v>2651.1375581911725</v>
      </c>
      <c r="BX17" s="25">
        <f t="shared" si="22"/>
        <v>0.011107168239335522</v>
      </c>
      <c r="BY17" s="25">
        <f t="shared" si="49"/>
        <v>21.20638971972255</v>
      </c>
      <c r="BZ17" s="25">
        <f t="shared" si="23"/>
        <v>153.76629401495907</v>
      </c>
      <c r="CA17" s="27">
        <f t="shared" si="24"/>
        <v>2.936448582802399</v>
      </c>
      <c r="CB17" s="139">
        <f t="shared" si="50"/>
        <v>88.09345748407198</v>
      </c>
      <c r="CD17" s="27">
        <f>IF(CJ16&lt;'DadosReais&amp;Graficos'!MinASW,'DadosReais&amp;Graficos'!MinASW,IF(CJ16&gt;'DadosReais&amp;Graficos'!MaxASW,'DadosReais&amp;Graficos'!MaxASW,CJ16))</f>
        <v>138.65647272047522</v>
      </c>
      <c r="CE17" s="25">
        <f t="shared" si="25"/>
        <v>5.1840000915527344</v>
      </c>
      <c r="CG17" s="27">
        <f t="shared" si="26"/>
        <v>173.21647333082677</v>
      </c>
      <c r="CH17" s="27">
        <f t="shared" si="51"/>
        <v>93.27745757562471</v>
      </c>
      <c r="CI17" s="27">
        <f>MAX(CG17-CH17-'DadosReais&amp;Graficos'!MaxASW,0)</f>
        <v>0</v>
      </c>
      <c r="CJ17" s="27">
        <f t="shared" si="63"/>
        <v>79.93901575520206</v>
      </c>
      <c r="CK17" s="27">
        <f>poolFractn*Month!CI17</f>
        <v>0</v>
      </c>
      <c r="CQ17" s="25">
        <f>SIN(PI()*'DadosReais&amp;Graficos'!Lat/180)</f>
        <v>0.6293203910498374</v>
      </c>
      <c r="CR17" s="25">
        <f>COS(PI()*'DadosReais&amp;Graficos'!Lat/180)</f>
        <v>0.7771459614569709</v>
      </c>
      <c r="CS17" s="25">
        <f t="shared" si="65"/>
        <v>1982</v>
      </c>
      <c r="CT17" s="29">
        <f t="shared" si="66"/>
        <v>29952</v>
      </c>
      <c r="CU17" s="30">
        <f t="shared" si="52"/>
        <v>4</v>
      </c>
      <c r="CV17" s="27">
        <f t="shared" si="27"/>
        <v>105</v>
      </c>
      <c r="CW17" s="25">
        <f t="shared" si="67"/>
        <v>0.16674832097168432</v>
      </c>
      <c r="CX17" s="25">
        <f t="shared" si="28"/>
        <v>-0.13694746197546548</v>
      </c>
      <c r="CY17" s="25">
        <f t="shared" si="68"/>
        <v>0.5437291516276365</v>
      </c>
      <c r="CZ17" s="25">
        <f t="shared" si="69"/>
        <v>46978.19870062779</v>
      </c>
    </row>
    <row r="18" spans="1:104" ht="12.75">
      <c r="A18" s="149">
        <f t="shared" si="29"/>
        <v>30069</v>
      </c>
      <c r="B18" s="60">
        <f t="shared" si="71"/>
        <v>7.08</v>
      </c>
      <c r="C18" s="78">
        <f t="shared" si="53"/>
        <v>7.0833333333333295</v>
      </c>
      <c r="D18" s="171">
        <f t="shared" si="30"/>
        <v>784324.2194698064</v>
      </c>
      <c r="E18" s="30">
        <f t="shared" si="70"/>
        <v>1111</v>
      </c>
      <c r="F18" s="27">
        <f t="shared" si="54"/>
        <v>6.852472093369337</v>
      </c>
      <c r="G18" s="27">
        <f t="shared" si="31"/>
        <v>18.447817514938308</v>
      </c>
      <c r="H18" s="27">
        <f t="shared" si="32"/>
        <v>66.03877123451117</v>
      </c>
      <c r="I18" s="27">
        <f t="shared" si="33"/>
        <v>72.89124332788052</v>
      </c>
      <c r="J18" s="27">
        <f t="shared" si="55"/>
        <v>91.33906084281881</v>
      </c>
      <c r="K18" s="27">
        <f t="shared" si="34"/>
        <v>4.026822307084697</v>
      </c>
      <c r="L18" s="27">
        <f t="shared" si="35"/>
        <v>2.759368748425502</v>
      </c>
      <c r="M18" s="27">
        <f t="shared" si="56"/>
        <v>1.0693163572949513</v>
      </c>
      <c r="O18" s="25">
        <f t="shared" si="36"/>
        <v>0.01299999999999999</v>
      </c>
      <c r="P18" s="25">
        <f t="shared" si="37"/>
        <v>0.08908213721380132</v>
      </c>
      <c r="Q18" s="25">
        <f t="shared" si="1"/>
        <v>0.18447817514938308</v>
      </c>
      <c r="S18" s="27">
        <f t="shared" si="57"/>
        <v>59.44083819487955</v>
      </c>
      <c r="T18" s="27">
        <f t="shared" si="2"/>
        <v>13.152158010808469</v>
      </c>
      <c r="U18" s="27">
        <f t="shared" si="3"/>
        <v>0.20152326177967841</v>
      </c>
      <c r="V18" s="27">
        <f t="shared" si="4"/>
        <v>0.45</v>
      </c>
      <c r="W18" s="27">
        <f t="shared" si="5"/>
        <v>117.17871700313441</v>
      </c>
      <c r="X18" s="27">
        <f t="shared" si="6"/>
        <v>16.54287769456016</v>
      </c>
      <c r="Y18" s="27">
        <f t="shared" si="7"/>
        <v>15.09377862428304</v>
      </c>
      <c r="AA18" s="24">
        <f t="shared" si="8"/>
        <v>0.9958988720194414</v>
      </c>
      <c r="AB18" s="23">
        <f t="shared" si="9"/>
        <v>0.7395950810511582</v>
      </c>
      <c r="AC18" s="23">
        <f>IF('DadosReais&amp;Graficos'!soilClass&gt;0,0.8-0.1*'DadosReais&amp;Graficos'!soilClass,IF('DadosReais&amp;Graficos'!soilClass&lt;0,SWconst0,999))</f>
        <v>0.6000000000000001</v>
      </c>
      <c r="AD18" s="23">
        <f>IF('DadosReais&amp;Graficos'!soilClass&gt;0,11-2*'DadosReais&amp;Graficos'!soilClass,SWpower0)</f>
        <v>7</v>
      </c>
      <c r="AE18" s="24">
        <f>1/(1+((1-CD18/'DadosReais&amp;Graficos'!MaxASW)/AC18)^AD18)</f>
        <v>0.49911087327634074</v>
      </c>
      <c r="AF18" s="24">
        <f t="shared" si="58"/>
        <v>0.6</v>
      </c>
      <c r="AG18" s="27">
        <f t="shared" si="10"/>
        <v>1</v>
      </c>
      <c r="AH18" s="27">
        <f t="shared" si="11"/>
        <v>0.9666666666666667</v>
      </c>
      <c r="AI18" s="27">
        <f t="shared" si="38"/>
        <v>0.9995057330521623</v>
      </c>
      <c r="AJ18" s="24">
        <f t="shared" si="39"/>
        <v>0.49886417926837384</v>
      </c>
      <c r="AM18" s="27">
        <f t="shared" si="40"/>
        <v>742.9099788665771</v>
      </c>
      <c r="AN18" s="27">
        <f t="shared" si="12"/>
        <v>1</v>
      </c>
      <c r="AO18" s="27">
        <f t="shared" si="41"/>
        <v>0.7483420297289785</v>
      </c>
      <c r="AP18" s="27">
        <f t="shared" si="59"/>
        <v>555.9507614909269</v>
      </c>
      <c r="AQ18" s="27">
        <f t="shared" si="60"/>
        <v>0.02641417153705744</v>
      </c>
      <c r="AR18" s="27">
        <f t="shared" si="42"/>
        <v>1.4580622688455707</v>
      </c>
      <c r="AS18" s="27">
        <f t="shared" si="43"/>
        <v>1</v>
      </c>
      <c r="AT18" s="25">
        <f t="shared" si="44"/>
        <v>8.106108286658836</v>
      </c>
      <c r="AU18" s="25">
        <f t="shared" si="13"/>
        <v>3.8098708947296527</v>
      </c>
      <c r="AW18" s="25">
        <f t="shared" si="14"/>
        <v>0.6</v>
      </c>
      <c r="AX18" s="25">
        <f t="shared" si="45"/>
        <v>0.11205305058499344</v>
      </c>
      <c r="AY18" s="25">
        <f t="shared" si="46"/>
        <v>0.29439301692271386</v>
      </c>
      <c r="AZ18" s="25">
        <f t="shared" si="61"/>
        <v>0.6345083831262393</v>
      </c>
      <c r="BA18" s="25">
        <f t="shared" si="62"/>
        <v>0.07109859995104695</v>
      </c>
      <c r="BB18" s="25">
        <f t="shared" si="15"/>
        <v>0.27087648660952085</v>
      </c>
      <c r="BC18" s="25">
        <f t="shared" si="16"/>
        <v>1.1215993867855016</v>
      </c>
      <c r="BD18" s="25">
        <f t="shared" si="17"/>
        <v>2.4173950213346305</v>
      </c>
      <c r="BG18" s="76">
        <f t="shared" si="47"/>
        <v>30072</v>
      </c>
      <c r="BH18" s="30">
        <f t="shared" si="18"/>
        <v>31</v>
      </c>
      <c r="BI18" s="27">
        <f>'PSP-1 Metdata'!D19</f>
        <v>15.25</v>
      </c>
      <c r="BJ18" s="28">
        <f>'PSP-1 Metdata'!E19</f>
        <v>20.600000381469727</v>
      </c>
      <c r="BK18" s="28">
        <f>'PSP-1 Metdata'!F19</f>
        <v>9.899999618530273</v>
      </c>
      <c r="BL18" s="28">
        <f>'PSP-1 Metdata'!G19</f>
        <v>19.360000610351562</v>
      </c>
      <c r="BM18" s="28">
        <f>'PSP-1 Metdata'!I19</f>
        <v>23.9648380279541</v>
      </c>
      <c r="BN18" s="28">
        <f>'PSP-1 Metdata'!J19</f>
        <v>4</v>
      </c>
      <c r="BO18" s="28">
        <f>'PSP-1 Metdata'!K19</f>
        <v>1</v>
      </c>
      <c r="BP18" s="25">
        <f>'PSP-1 Metdata'!L19</f>
        <v>24.262791052280953</v>
      </c>
      <c r="BQ18" s="25">
        <f>'PSP-1 Metdata'!M19</f>
        <v>12.196693839701425</v>
      </c>
      <c r="BR18" s="25">
        <f>'PSP-1 Metdata'!N19</f>
        <v>6.033048606289764</v>
      </c>
      <c r="BT18" s="25">
        <f t="shared" si="48"/>
        <v>51049.507507765746</v>
      </c>
      <c r="BU18" s="25">
        <f t="shared" si="19"/>
        <v>285.5544638593589</v>
      </c>
      <c r="BV18" s="25">
        <f t="shared" si="20"/>
        <v>0.2</v>
      </c>
      <c r="BW18" s="25">
        <f t="shared" si="21"/>
        <v>2215.509200029463</v>
      </c>
      <c r="BX18" s="25">
        <f t="shared" si="22"/>
        <v>0.008267568924817344</v>
      </c>
      <c r="BY18" s="25">
        <f t="shared" si="49"/>
        <v>27.39090809145188</v>
      </c>
      <c r="BZ18" s="25">
        <f t="shared" si="23"/>
        <v>103.8201804418277</v>
      </c>
      <c r="CA18" s="27">
        <f t="shared" si="24"/>
        <v>2.1544589759848285</v>
      </c>
      <c r="CB18" s="139">
        <f t="shared" si="50"/>
        <v>66.78822825552969</v>
      </c>
      <c r="CD18" s="27">
        <f>IF(CJ17&lt;'DadosReais&amp;Graficos'!MinASW,'DadosReais&amp;Graficos'!MinASW,IF(CJ17&gt;'DadosReais&amp;Graficos'!MaxASW,'DadosReais&amp;Graficos'!MaxASW,CJ17))</f>
        <v>79.93901575520206</v>
      </c>
      <c r="CE18" s="25">
        <f t="shared" si="25"/>
        <v>2.904000091552734</v>
      </c>
      <c r="CG18" s="27">
        <f t="shared" si="26"/>
        <v>99.29901636555363</v>
      </c>
      <c r="CH18" s="27">
        <f t="shared" si="51"/>
        <v>69.69222834708242</v>
      </c>
      <c r="CI18" s="27">
        <f>MAX(CG18-CH18-'DadosReais&amp;Graficos'!MaxASW,0)</f>
        <v>0</v>
      </c>
      <c r="CJ18" s="27">
        <f t="shared" si="63"/>
        <v>29.606788018471207</v>
      </c>
      <c r="CK18" s="27">
        <f>poolFractn*Month!CI18</f>
        <v>0</v>
      </c>
      <c r="CQ18" s="25">
        <f>SIN(PI()*'DadosReais&amp;Graficos'!Lat/180)</f>
        <v>0.6293203910498374</v>
      </c>
      <c r="CR18" s="25">
        <f>COS(PI()*'DadosReais&amp;Graficos'!Lat/180)</f>
        <v>0.7771459614569709</v>
      </c>
      <c r="CS18" s="25">
        <f t="shared" si="65"/>
        <v>1982</v>
      </c>
      <c r="CT18" s="29">
        <f t="shared" si="66"/>
        <v>29952</v>
      </c>
      <c r="CU18" s="30">
        <f t="shared" si="52"/>
        <v>5</v>
      </c>
      <c r="CV18" s="27">
        <f t="shared" si="27"/>
        <v>136</v>
      </c>
      <c r="CW18" s="25">
        <f t="shared" si="67"/>
        <v>0.328409053946799</v>
      </c>
      <c r="CX18" s="25">
        <f t="shared" si="28"/>
        <v>-0.2815567874772962</v>
      </c>
      <c r="CY18" s="25">
        <f t="shared" si="68"/>
        <v>0.5908507813398813</v>
      </c>
      <c r="CZ18" s="25">
        <f t="shared" si="69"/>
        <v>51049.507507765746</v>
      </c>
    </row>
    <row r="19" spans="1:104" ht="12.75">
      <c r="A19" s="149">
        <f t="shared" si="29"/>
        <v>30099</v>
      </c>
      <c r="B19" s="60">
        <f t="shared" si="71"/>
        <v>7.17</v>
      </c>
      <c r="C19" s="78">
        <f t="shared" si="53"/>
        <v>7.1666666666666625</v>
      </c>
      <c r="D19" s="171">
        <f t="shared" si="30"/>
        <v>739478.1698247581</v>
      </c>
      <c r="E19" s="30">
        <f t="shared" si="70"/>
        <v>1111</v>
      </c>
      <c r="F19" s="27">
        <f t="shared" si="54"/>
        <v>7.034266442765056</v>
      </c>
      <c r="G19" s="27">
        <f t="shared" si="31"/>
        <v>19.384938726574426</v>
      </c>
      <c r="H19" s="27">
        <f t="shared" si="32"/>
        <v>68.4561662558458</v>
      </c>
      <c r="I19" s="27">
        <f t="shared" si="33"/>
        <v>75.49043269861086</v>
      </c>
      <c r="J19" s="27">
        <f t="shared" si="55"/>
        <v>94.87537142518528</v>
      </c>
      <c r="K19" s="27">
        <f t="shared" si="34"/>
        <v>4.023512587849341</v>
      </c>
      <c r="L19" s="27">
        <f t="shared" si="35"/>
        <v>2.830245957875141</v>
      </c>
      <c r="M19" s="27">
        <f t="shared" si="56"/>
        <v>1.1583984945087527</v>
      </c>
      <c r="O19" s="25">
        <f t="shared" si="36"/>
        <v>0.012999999999999992</v>
      </c>
      <c r="P19" s="25">
        <f t="shared" si="37"/>
        <v>0.09144546375594569</v>
      </c>
      <c r="Q19" s="25">
        <f t="shared" si="1"/>
        <v>0.19384938726574427</v>
      </c>
      <c r="S19" s="27">
        <f t="shared" si="57"/>
        <v>61.61671130139136</v>
      </c>
      <c r="T19" s="27">
        <f t="shared" si="2"/>
        <v>13.328048986873366</v>
      </c>
      <c r="U19" s="27">
        <f t="shared" si="3"/>
        <v>0.20005649453137636</v>
      </c>
      <c r="V19" s="27">
        <f t="shared" si="4"/>
        <v>0.45</v>
      </c>
      <c r="W19" s="27">
        <f t="shared" si="5"/>
        <v>121.69125690143154</v>
      </c>
      <c r="X19" s="27">
        <f t="shared" si="6"/>
        <v>16.98017538159511</v>
      </c>
      <c r="Y19" s="27">
        <f t="shared" si="7"/>
        <v>15.500192825455915</v>
      </c>
      <c r="AA19" s="24">
        <f t="shared" si="8"/>
        <v>0.9808679740695874</v>
      </c>
      <c r="AB19" s="23">
        <f t="shared" si="9"/>
        <v>0.7101303119801314</v>
      </c>
      <c r="AC19" s="23">
        <f>IF('DadosReais&amp;Graficos'!soilClass&gt;0,0.8-0.1*'DadosReais&amp;Graficos'!soilClass,IF('DadosReais&amp;Graficos'!soilClass&lt;0,SWconst0,999))</f>
        <v>0.6000000000000001</v>
      </c>
      <c r="AD19" s="23">
        <f>IF('DadosReais&amp;Graficos'!soilClass&gt;0,11-2*'DadosReais&amp;Graficos'!soilClass,SWpower0)</f>
        <v>7</v>
      </c>
      <c r="AE19" s="24">
        <f>1/(1+((1-CD19/'DadosReais&amp;Graficos'!MaxASW)/AC19)^AD19)</f>
        <v>0.07912326434213789</v>
      </c>
      <c r="AF19" s="24">
        <f t="shared" si="58"/>
        <v>0.6</v>
      </c>
      <c r="AG19" s="27">
        <f t="shared" si="10"/>
        <v>1</v>
      </c>
      <c r="AH19" s="27">
        <f t="shared" si="11"/>
        <v>1</v>
      </c>
      <c r="AI19" s="27">
        <f t="shared" si="38"/>
        <v>0.9994820719994651</v>
      </c>
      <c r="AJ19" s="24">
        <f t="shared" si="39"/>
        <v>0.07908228418804138</v>
      </c>
      <c r="AM19" s="27">
        <f t="shared" si="40"/>
        <v>756.0099792480469</v>
      </c>
      <c r="AN19" s="27">
        <f t="shared" si="12"/>
        <v>1</v>
      </c>
      <c r="AO19" s="27">
        <f t="shared" si="41"/>
        <v>0.7571042594482019</v>
      </c>
      <c r="AP19" s="27">
        <f t="shared" si="59"/>
        <v>572.3783754740431</v>
      </c>
      <c r="AQ19" s="27">
        <f t="shared" si="60"/>
        <v>0.004266310393197573</v>
      </c>
      <c r="AR19" s="27">
        <f t="shared" si="42"/>
        <v>0.23550033370450602</v>
      </c>
      <c r="AS19" s="27">
        <f t="shared" si="43"/>
        <v>1</v>
      </c>
      <c r="AT19" s="25">
        <f t="shared" si="44"/>
        <v>1.3479529842938018</v>
      </c>
      <c r="AU19" s="25">
        <f t="shared" si="13"/>
        <v>0.6335379026180868</v>
      </c>
      <c r="AW19" s="25">
        <f t="shared" si="14"/>
        <v>0.6</v>
      </c>
      <c r="AX19" s="25">
        <f t="shared" si="45"/>
        <v>0.11127738285953372</v>
      </c>
      <c r="AY19" s="25">
        <f t="shared" si="46"/>
        <v>0.4501604020201368</v>
      </c>
      <c r="AZ19" s="25">
        <f t="shared" si="61"/>
        <v>0.4947815968008082</v>
      </c>
      <c r="BA19" s="25">
        <f t="shared" si="62"/>
        <v>0.05505800117905496</v>
      </c>
      <c r="BB19" s="25">
        <f t="shared" si="15"/>
        <v>0.034881330589322634</v>
      </c>
      <c r="BC19" s="25">
        <f t="shared" si="16"/>
        <v>0.28519367693755227</v>
      </c>
      <c r="BD19" s="25">
        <f t="shared" si="17"/>
        <v>0.31346289509121195</v>
      </c>
      <c r="BG19" s="76">
        <f t="shared" si="47"/>
        <v>30103</v>
      </c>
      <c r="BH19" s="30">
        <f t="shared" si="18"/>
        <v>30</v>
      </c>
      <c r="BI19" s="27">
        <f>'PSP-1 Metdata'!D20</f>
        <v>17.699999809265137</v>
      </c>
      <c r="BJ19" s="28">
        <f>'PSP-1 Metdata'!E20</f>
        <v>23</v>
      </c>
      <c r="BK19" s="28">
        <f>'PSP-1 Metdata'!F20</f>
        <v>12.399999618530273</v>
      </c>
      <c r="BL19" s="28">
        <f>'PSP-1 Metdata'!G20</f>
        <v>19.360000610351562</v>
      </c>
      <c r="BM19" s="28">
        <f>'PSP-1 Metdata'!I20</f>
        <v>25.200332641601562</v>
      </c>
      <c r="BN19" s="28">
        <f>'PSP-1 Metdata'!J20</f>
        <v>5</v>
      </c>
      <c r="BO19" s="28">
        <f>'PSP-1 Metdata'!K20</f>
        <v>0</v>
      </c>
      <c r="BP19" s="25">
        <f>'PSP-1 Metdata'!L20</f>
        <v>28.090974086857273</v>
      </c>
      <c r="BQ19" s="25">
        <f>'PSP-1 Metdata'!M20</f>
        <v>14.398702575352115</v>
      </c>
      <c r="BR19" s="25">
        <f>'PSP-1 Metdata'!N20</f>
        <v>6.846135755752579</v>
      </c>
      <c r="BT19" s="25">
        <f t="shared" si="48"/>
        <v>53082.57808162483</v>
      </c>
      <c r="BU19" s="25">
        <f t="shared" si="19"/>
        <v>289.790636435949</v>
      </c>
      <c r="BV19" s="25">
        <f t="shared" si="20"/>
        <v>0.2</v>
      </c>
      <c r="BW19" s="25">
        <f t="shared" si="21"/>
        <v>2514.098218222113</v>
      </c>
      <c r="BX19" s="25">
        <f t="shared" si="22"/>
        <v>0.0013442781691455693</v>
      </c>
      <c r="BY19" s="25">
        <f t="shared" si="49"/>
        <v>151.9787309133504</v>
      </c>
      <c r="BZ19" s="25">
        <f t="shared" si="23"/>
        <v>20.737359757123414</v>
      </c>
      <c r="CA19" s="27">
        <f t="shared" si="24"/>
        <v>0.44747663354237727</v>
      </c>
      <c r="CB19" s="139">
        <f t="shared" si="50"/>
        <v>13.424299006271317</v>
      </c>
      <c r="CD19" s="27">
        <f>IF(CJ18&lt;'DadosReais&amp;Graficos'!MinASW,'DadosReais&amp;Graficos'!MinASW,IF(CJ18&gt;'DadosReais&amp;Graficos'!MaxASW,'DadosReais&amp;Graficos'!MaxASW,CJ18))</f>
        <v>29.606788018471207</v>
      </c>
      <c r="CE19" s="25">
        <f t="shared" si="25"/>
        <v>2.904000091552734</v>
      </c>
      <c r="CG19" s="27">
        <f t="shared" si="26"/>
        <v>48.96678862882277</v>
      </c>
      <c r="CH19" s="27">
        <f t="shared" si="51"/>
        <v>16.32829909782405</v>
      </c>
      <c r="CI19" s="27">
        <f>MAX(CG19-CH19-'DadosReais&amp;Graficos'!MaxASW,0)</f>
        <v>0</v>
      </c>
      <c r="CJ19" s="27">
        <f t="shared" si="63"/>
        <v>32.63848953099872</v>
      </c>
      <c r="CK19" s="27">
        <f>poolFractn*Month!CI19</f>
        <v>0</v>
      </c>
      <c r="CQ19" s="25">
        <f>SIN(PI()*'DadosReais&amp;Graficos'!Lat/180)</f>
        <v>0.6293203910498374</v>
      </c>
      <c r="CR19" s="25">
        <f>COS(PI()*'DadosReais&amp;Graficos'!Lat/180)</f>
        <v>0.7771459614569709</v>
      </c>
      <c r="CS19" s="25">
        <f t="shared" si="65"/>
        <v>1982</v>
      </c>
      <c r="CT19" s="29">
        <f t="shared" si="66"/>
        <v>29952</v>
      </c>
      <c r="CU19" s="30">
        <f t="shared" si="52"/>
        <v>6</v>
      </c>
      <c r="CV19" s="27">
        <f t="shared" si="27"/>
        <v>166</v>
      </c>
      <c r="CW19" s="25">
        <f t="shared" si="67"/>
        <v>0.3983231954255811</v>
      </c>
      <c r="CX19" s="25">
        <f t="shared" si="28"/>
        <v>-0.3516571006926921</v>
      </c>
      <c r="CY19" s="25">
        <f t="shared" si="68"/>
        <v>0.6143816907595466</v>
      </c>
      <c r="CZ19" s="25">
        <f t="shared" si="69"/>
        <v>53082.57808162483</v>
      </c>
    </row>
    <row r="20" spans="1:104" ht="12.75">
      <c r="A20" s="149">
        <f t="shared" si="29"/>
        <v>30130</v>
      </c>
      <c r="B20" s="60">
        <f t="shared" si="71"/>
        <v>7.25</v>
      </c>
      <c r="C20" s="78">
        <f t="shared" si="53"/>
        <v>7.249999999999996</v>
      </c>
      <c r="D20" s="171">
        <f t="shared" si="30"/>
        <v>735290.6428135737</v>
      </c>
      <c r="E20" s="30">
        <f t="shared" si="70"/>
        <v>1111</v>
      </c>
      <c r="F20" s="27">
        <f t="shared" si="54"/>
        <v>6.977702309598433</v>
      </c>
      <c r="G20" s="27">
        <f t="shared" si="31"/>
        <v>19.476283016246235</v>
      </c>
      <c r="H20" s="27">
        <f t="shared" si="32"/>
        <v>68.769629150937</v>
      </c>
      <c r="I20" s="27">
        <f t="shared" si="33"/>
        <v>75.74733146053543</v>
      </c>
      <c r="J20" s="27">
        <f t="shared" si="55"/>
        <v>95.22361447678168</v>
      </c>
      <c r="K20" s="27">
        <f t="shared" si="34"/>
        <v>4.020579545374761</v>
      </c>
      <c r="L20" s="27">
        <f t="shared" si="35"/>
        <v>2.805440717968569</v>
      </c>
      <c r="M20" s="27">
        <f t="shared" si="56"/>
        <v>1.2498439582646983</v>
      </c>
      <c r="O20" s="25">
        <f t="shared" si="36"/>
        <v>0.012999999999999996</v>
      </c>
      <c r="P20" s="25">
        <f t="shared" si="37"/>
        <v>0.0907101300247796</v>
      </c>
      <c r="Q20" s="25">
        <f t="shared" si="1"/>
        <v>0.19476283016246235</v>
      </c>
      <c r="S20" s="27">
        <f t="shared" si="57"/>
        <v>61.89885612145545</v>
      </c>
      <c r="T20" s="27">
        <f t="shared" si="2"/>
        <v>13.350568264884265</v>
      </c>
      <c r="U20" s="27">
        <f t="shared" si="3"/>
        <v>0.19863148329941294</v>
      </c>
      <c r="V20" s="27">
        <f t="shared" si="4"/>
        <v>0.45</v>
      </c>
      <c r="W20" s="27">
        <f t="shared" si="5"/>
        <v>122.46625712607965</v>
      </c>
      <c r="X20" s="27">
        <f t="shared" si="6"/>
        <v>16.89189753463169</v>
      </c>
      <c r="Y20" s="27">
        <f t="shared" si="7"/>
        <v>15.552615807185457</v>
      </c>
      <c r="AA20" s="24">
        <f t="shared" si="8"/>
        <v>0.9399730536856407</v>
      </c>
      <c r="AB20" s="23">
        <f t="shared" si="9"/>
        <v>0.736636844792764</v>
      </c>
      <c r="AC20" s="23">
        <f>IF('DadosReais&amp;Graficos'!soilClass&gt;0,0.8-0.1*'DadosReais&amp;Graficos'!soilClass,IF('DadosReais&amp;Graficos'!soilClass&lt;0,SWconst0,999))</f>
        <v>0.6000000000000001</v>
      </c>
      <c r="AD20" s="23">
        <f>IF('DadosReais&amp;Graficos'!soilClass&gt;0,11-2*'DadosReais&amp;Graficos'!soilClass,SWpower0)</f>
        <v>7</v>
      </c>
      <c r="AE20" s="24">
        <f>1/(1+((1-CD20/'DadosReais&amp;Graficos'!MaxASW)/AC20)^AD20)</f>
        <v>0.08877771209094115</v>
      </c>
      <c r="AF20" s="24">
        <f t="shared" si="58"/>
        <v>0.6</v>
      </c>
      <c r="AG20" s="27">
        <f t="shared" si="10"/>
        <v>1</v>
      </c>
      <c r="AH20" s="27">
        <f t="shared" si="11"/>
        <v>1</v>
      </c>
      <c r="AI20" s="27">
        <f t="shared" si="38"/>
        <v>0.9994575721862835</v>
      </c>
      <c r="AJ20" s="24">
        <f t="shared" si="39"/>
        <v>0.08872955659066491</v>
      </c>
      <c r="AM20" s="27">
        <f t="shared" si="40"/>
        <v>704.2199935913086</v>
      </c>
      <c r="AN20" s="27">
        <f t="shared" si="12"/>
        <v>1</v>
      </c>
      <c r="AO20" s="27">
        <f t="shared" si="41"/>
        <v>0.7540729566992949</v>
      </c>
      <c r="AP20" s="27">
        <f t="shared" si="59"/>
        <v>531.0332527341566</v>
      </c>
      <c r="AQ20" s="27">
        <f t="shared" si="60"/>
        <v>0.004587186574338508</v>
      </c>
      <c r="AR20" s="27">
        <f t="shared" si="42"/>
        <v>0.25321269890348563</v>
      </c>
      <c r="AS20" s="27">
        <f t="shared" si="43"/>
        <v>1</v>
      </c>
      <c r="AT20" s="25">
        <f t="shared" si="44"/>
        <v>1.3446436313231258</v>
      </c>
      <c r="AU20" s="25">
        <f t="shared" si="13"/>
        <v>0.6319825067218691</v>
      </c>
      <c r="AW20" s="25">
        <f t="shared" si="14"/>
        <v>0.6</v>
      </c>
      <c r="AX20" s="25">
        <f t="shared" si="45"/>
        <v>0.11117919959446729</v>
      </c>
      <c r="AY20" s="25">
        <f t="shared" si="46"/>
        <v>0.44475226075474944</v>
      </c>
      <c r="AZ20" s="25">
        <f t="shared" si="61"/>
        <v>0.4996923443562408</v>
      </c>
      <c r="BA20" s="25">
        <f t="shared" si="62"/>
        <v>0.05555539488900979</v>
      </c>
      <c r="BB20" s="25">
        <f t="shared" si="15"/>
        <v>0.03511003772387972</v>
      </c>
      <c r="BC20" s="25">
        <f t="shared" si="16"/>
        <v>0.2810756486220049</v>
      </c>
      <c r="BD20" s="25">
        <f t="shared" si="17"/>
        <v>0.3157968203759845</v>
      </c>
      <c r="BG20" s="76">
        <f t="shared" si="47"/>
        <v>30133</v>
      </c>
      <c r="BH20" s="30">
        <f t="shared" si="18"/>
        <v>31</v>
      </c>
      <c r="BI20" s="27">
        <f>'PSP-1 Metdata'!D21</f>
        <v>19.09999990463257</v>
      </c>
      <c r="BJ20" s="28">
        <f>'PSP-1 Metdata'!E21</f>
        <v>23.5</v>
      </c>
      <c r="BK20" s="28">
        <f>'PSP-1 Metdata'!F21</f>
        <v>14.699999809265137</v>
      </c>
      <c r="BL20" s="28">
        <f>'PSP-1 Metdata'!G21</f>
        <v>9.51999969482422</v>
      </c>
      <c r="BM20" s="28">
        <f>'PSP-1 Metdata'!I21</f>
        <v>22.716773986816406</v>
      </c>
      <c r="BN20" s="28">
        <f>'PSP-1 Metdata'!J21</f>
        <v>3</v>
      </c>
      <c r="BO20" s="28">
        <f>'PSP-1 Metdata'!K21</f>
        <v>0</v>
      </c>
      <c r="BP20" s="25">
        <f>'PSP-1 Metdata'!L21</f>
        <v>28.951750734741324</v>
      </c>
      <c r="BQ20" s="25">
        <f>'PSP-1 Metdata'!M21</f>
        <v>16.72534048915564</v>
      </c>
      <c r="BR20" s="25">
        <f>'PSP-1 Metdata'!N21</f>
        <v>6.1132051227928415</v>
      </c>
      <c r="BT20" s="25">
        <f t="shared" si="48"/>
        <v>51987.026278968784</v>
      </c>
      <c r="BU20" s="25">
        <f t="shared" si="19"/>
        <v>259.57604791496095</v>
      </c>
      <c r="BV20" s="25">
        <f t="shared" si="20"/>
        <v>0.2</v>
      </c>
      <c r="BW20" s="25">
        <f t="shared" si="21"/>
        <v>2244.9449813970677</v>
      </c>
      <c r="BX20" s="25">
        <f t="shared" si="22"/>
        <v>0.0014950481137942808</v>
      </c>
      <c r="BY20" s="25">
        <f t="shared" si="49"/>
        <v>136.97495891581727</v>
      </c>
      <c r="BZ20" s="25">
        <f t="shared" si="23"/>
        <v>20.558591943368718</v>
      </c>
      <c r="CA20" s="27">
        <f t="shared" si="24"/>
        <v>0.43446343886931116</v>
      </c>
      <c r="CB20" s="139">
        <f t="shared" si="50"/>
        <v>13.468366604948645</v>
      </c>
      <c r="CD20" s="27">
        <f>IF(CJ19&lt;'DadosReais&amp;Graficos'!MinASW,'DadosReais&amp;Graficos'!MinASW,IF(CJ19&gt;'DadosReais&amp;Graficos'!MaxASW,'DadosReais&amp;Graficos'!MaxASW,CJ19))</f>
        <v>32.63848953099872</v>
      </c>
      <c r="CE20" s="25">
        <f t="shared" si="25"/>
        <v>1.427999954223633</v>
      </c>
      <c r="CG20" s="27">
        <f t="shared" si="26"/>
        <v>42.15848922582294</v>
      </c>
      <c r="CH20" s="27">
        <f t="shared" si="51"/>
        <v>14.896366559172279</v>
      </c>
      <c r="CI20" s="27">
        <f>MAX(CG20-CH20-'DadosReais&amp;Graficos'!MaxASW,0)</f>
        <v>0</v>
      </c>
      <c r="CJ20" s="27">
        <f t="shared" si="63"/>
        <v>27.26212266665066</v>
      </c>
      <c r="CK20" s="27">
        <f>poolFractn*Month!CI20</f>
        <v>0</v>
      </c>
      <c r="CQ20" s="25">
        <f>SIN(PI()*'DadosReais&amp;Graficos'!Lat/180)</f>
        <v>0.6293203910498374</v>
      </c>
      <c r="CR20" s="25">
        <f>COS(PI()*'DadosReais&amp;Graficos'!Lat/180)</f>
        <v>0.7771459614569709</v>
      </c>
      <c r="CS20" s="25">
        <f t="shared" si="65"/>
        <v>1982</v>
      </c>
      <c r="CT20" s="29">
        <f t="shared" si="66"/>
        <v>29952</v>
      </c>
      <c r="CU20" s="30">
        <f t="shared" si="52"/>
        <v>7</v>
      </c>
      <c r="CV20" s="27">
        <f t="shared" si="27"/>
        <v>197</v>
      </c>
      <c r="CW20" s="25">
        <f t="shared" si="67"/>
        <v>0.3616269729601193</v>
      </c>
      <c r="CX20" s="25">
        <f t="shared" si="28"/>
        <v>-0.3140969275246581</v>
      </c>
      <c r="CY20" s="25">
        <f t="shared" si="68"/>
        <v>0.6017016930436202</v>
      </c>
      <c r="CZ20" s="25">
        <f t="shared" si="69"/>
        <v>51987.026278968784</v>
      </c>
    </row>
    <row r="21" spans="1:104" ht="12.75">
      <c r="A21" s="149">
        <f t="shared" si="29"/>
        <v>30160</v>
      </c>
      <c r="B21" s="60">
        <f t="shared" si="71"/>
        <v>7.33</v>
      </c>
      <c r="C21" s="78">
        <f t="shared" si="53"/>
        <v>7.333333333333329</v>
      </c>
      <c r="D21" s="171">
        <f t="shared" si="30"/>
        <v>731162.5417810039</v>
      </c>
      <c r="E21" s="30">
        <f t="shared" si="70"/>
        <v>1111</v>
      </c>
      <c r="F21" s="27">
        <f t="shared" si="54"/>
        <v>6.922102217297533</v>
      </c>
      <c r="G21" s="27">
        <f t="shared" si="31"/>
        <v>19.562595834705775</v>
      </c>
      <c r="H21" s="27">
        <f t="shared" si="32"/>
        <v>69.08542597131299</v>
      </c>
      <c r="I21" s="27">
        <f t="shared" si="33"/>
        <v>76.00752818861052</v>
      </c>
      <c r="J21" s="27">
        <f t="shared" si="55"/>
        <v>95.5701240233163</v>
      </c>
      <c r="K21" s="27">
        <f t="shared" si="34"/>
        <v>4.0179846572799995</v>
      </c>
      <c r="L21" s="27">
        <f t="shared" si="35"/>
        <v>2.7812900505225353</v>
      </c>
      <c r="M21" s="27">
        <f t="shared" si="56"/>
        <v>1.340554088289478</v>
      </c>
      <c r="O21" s="25">
        <f t="shared" si="36"/>
        <v>0.012999999999999996</v>
      </c>
      <c r="P21" s="25">
        <f t="shared" si="37"/>
        <v>0.0899873288248679</v>
      </c>
      <c r="Q21" s="25">
        <f t="shared" si="1"/>
        <v>0.19562595834705776</v>
      </c>
      <c r="S21" s="27">
        <f t="shared" si="57"/>
        <v>62.18310168435012</v>
      </c>
      <c r="T21" s="27">
        <f t="shared" si="2"/>
        <v>13.373189866789662</v>
      </c>
      <c r="U21" s="27">
        <f t="shared" si="3"/>
        <v>0.1972470393710578</v>
      </c>
      <c r="V21" s="27">
        <f t="shared" si="4"/>
        <v>0.45</v>
      </c>
      <c r="W21" s="27">
        <f t="shared" si="5"/>
        <v>123.24117829951803</v>
      </c>
      <c r="X21" s="27">
        <f t="shared" si="6"/>
        <v>16.80561522266156</v>
      </c>
      <c r="Y21" s="27">
        <f t="shared" si="7"/>
        <v>15.605366094343257</v>
      </c>
      <c r="AA21" s="24">
        <f t="shared" si="8"/>
        <v>0.8949068133664003</v>
      </c>
      <c r="AB21" s="23">
        <f t="shared" si="9"/>
        <v>0.6454761306567588</v>
      </c>
      <c r="AC21" s="23">
        <f>IF('DadosReais&amp;Graficos'!soilClass&gt;0,0.8-0.1*'DadosReais&amp;Graficos'!soilClass,IF('DadosReais&amp;Graficos'!soilClass&lt;0,SWconst0,999))</f>
        <v>0.6000000000000001</v>
      </c>
      <c r="AD21" s="23">
        <f>IF('DadosReais&amp;Graficos'!soilClass&gt;0,11-2*'DadosReais&amp;Graficos'!soilClass,SWpower0)</f>
        <v>7</v>
      </c>
      <c r="AE21" s="24">
        <f>1/(1+((1-CD21/'DadosReais&amp;Graficos'!MaxASW)/AC21)^AD21)</f>
        <v>0.07242750655521167</v>
      </c>
      <c r="AF21" s="24">
        <f t="shared" si="58"/>
        <v>0.6</v>
      </c>
      <c r="AG21" s="27">
        <f t="shared" si="10"/>
        <v>1</v>
      </c>
      <c r="AH21" s="27">
        <f t="shared" si="11"/>
        <v>1</v>
      </c>
      <c r="AI21" s="27">
        <f t="shared" si="38"/>
        <v>0.9994322140918465</v>
      </c>
      <c r="AJ21" s="24">
        <f t="shared" si="39"/>
        <v>0.07238638323762692</v>
      </c>
      <c r="AM21" s="27">
        <f t="shared" si="40"/>
        <v>724.8900108337402</v>
      </c>
      <c r="AN21" s="27">
        <f t="shared" si="12"/>
        <v>1</v>
      </c>
      <c r="AO21" s="27">
        <f t="shared" si="41"/>
        <v>0.7510853034280808</v>
      </c>
      <c r="AP21" s="27">
        <f t="shared" si="59"/>
        <v>544.4542337390445</v>
      </c>
      <c r="AQ21" s="27">
        <f t="shared" si="60"/>
        <v>0.0035628487154867046</v>
      </c>
      <c r="AR21" s="27">
        <f t="shared" si="42"/>
        <v>0.19666924909486608</v>
      </c>
      <c r="AS21" s="27">
        <f t="shared" si="43"/>
        <v>1</v>
      </c>
      <c r="AT21" s="25">
        <f t="shared" si="44"/>
        <v>1.0707740531597858</v>
      </c>
      <c r="AU21" s="25">
        <f t="shared" si="13"/>
        <v>0.5032638049850993</v>
      </c>
      <c r="AW21" s="25">
        <f t="shared" si="14"/>
        <v>0.6</v>
      </c>
      <c r="AX21" s="25">
        <f t="shared" si="45"/>
        <v>0.11108082380231785</v>
      </c>
      <c r="AY21" s="25">
        <f t="shared" si="46"/>
        <v>0.45399202319141674</v>
      </c>
      <c r="AZ21" s="25">
        <f t="shared" si="61"/>
        <v>0.49142057455374494</v>
      </c>
      <c r="BA21" s="25">
        <f t="shared" si="62"/>
        <v>0.054587402254838324</v>
      </c>
      <c r="BB21" s="25">
        <f t="shared" si="15"/>
        <v>0.027471863763022124</v>
      </c>
      <c r="BC21" s="25">
        <f t="shared" si="16"/>
        <v>0.22847775302419582</v>
      </c>
      <c r="BD21" s="25">
        <f t="shared" si="17"/>
        <v>0.2473141881978813</v>
      </c>
      <c r="BG21" s="76">
        <f t="shared" si="47"/>
        <v>30164</v>
      </c>
      <c r="BH21" s="30">
        <f t="shared" si="18"/>
        <v>31</v>
      </c>
      <c r="BI21" s="27">
        <f>'PSP-1 Metdata'!D22</f>
        <v>20.200000286102295</v>
      </c>
      <c r="BJ21" s="28">
        <f>'PSP-1 Metdata'!E22</f>
        <v>26.100000381469727</v>
      </c>
      <c r="BK21" s="28">
        <f>'PSP-1 Metdata'!F22</f>
        <v>14.300000190734863</v>
      </c>
      <c r="BL21" s="28">
        <f>'PSP-1 Metdata'!G22</f>
        <v>11.280000305175783</v>
      </c>
      <c r="BM21" s="28">
        <f>'PSP-1 Metdata'!I22</f>
        <v>23.383548736572266</v>
      </c>
      <c r="BN21" s="28">
        <f>'PSP-1 Metdata'!J22</f>
        <v>3</v>
      </c>
      <c r="BO21" s="28">
        <f>'PSP-1 Metdata'!K22</f>
        <v>0</v>
      </c>
      <c r="BP21" s="25">
        <f>'PSP-1 Metdata'!L22</f>
        <v>33.80916141263848</v>
      </c>
      <c r="BQ21" s="25">
        <f>'PSP-1 Metdata'!M22</f>
        <v>16.298479514731145</v>
      </c>
      <c r="BR21" s="25">
        <f>'PSP-1 Metdata'!N22</f>
        <v>8.755340948953668</v>
      </c>
      <c r="BT21" s="25">
        <f t="shared" si="48"/>
        <v>48361.75661678577</v>
      </c>
      <c r="BU21" s="25">
        <f t="shared" si="19"/>
        <v>296.81057715684585</v>
      </c>
      <c r="BV21" s="25">
        <f t="shared" si="20"/>
        <v>0.2</v>
      </c>
      <c r="BW21" s="25">
        <f t="shared" si="21"/>
        <v>3215.213350275117</v>
      </c>
      <c r="BX21" s="25">
        <f t="shared" si="22"/>
        <v>0.0012091743392920297</v>
      </c>
      <c r="BY21" s="25">
        <f t="shared" si="49"/>
        <v>168.60212068765847</v>
      </c>
      <c r="BZ21" s="25">
        <f t="shared" si="23"/>
        <v>22.942751871942065</v>
      </c>
      <c r="CA21" s="27">
        <f t="shared" si="24"/>
        <v>0.4510373098171416</v>
      </c>
      <c r="CB21" s="139">
        <f t="shared" si="50"/>
        <v>13.982156604331388</v>
      </c>
      <c r="CD21" s="27">
        <f>IF(CJ20&lt;'DadosReais&amp;Graficos'!MinASW,'DadosReais&amp;Graficos'!MinASW,IF(CJ20&gt;'DadosReais&amp;Graficos'!MaxASW,'DadosReais&amp;Graficos'!MaxASW,CJ20))</f>
        <v>27.26212266665066</v>
      </c>
      <c r="CE21" s="25">
        <f t="shared" si="25"/>
        <v>1.6920000457763673</v>
      </c>
      <c r="CG21" s="27">
        <f t="shared" si="26"/>
        <v>38.542122971826444</v>
      </c>
      <c r="CH21" s="27">
        <f t="shared" si="51"/>
        <v>15.674156650107756</v>
      </c>
      <c r="CI21" s="27">
        <f>MAX(CG21-CH21-'DadosReais&amp;Graficos'!MaxASW,0)</f>
        <v>0</v>
      </c>
      <c r="CJ21" s="27">
        <f t="shared" si="63"/>
        <v>22.86796632171869</v>
      </c>
      <c r="CK21" s="27">
        <f>poolFractn*Month!CI21</f>
        <v>0</v>
      </c>
      <c r="CQ21" s="25">
        <f>SIN(PI()*'DadosReais&amp;Graficos'!Lat/180)</f>
        <v>0.6293203910498374</v>
      </c>
      <c r="CR21" s="25">
        <f>COS(PI()*'DadosReais&amp;Graficos'!Lat/180)</f>
        <v>0.7771459614569709</v>
      </c>
      <c r="CS21" s="25">
        <f t="shared" si="65"/>
        <v>1982</v>
      </c>
      <c r="CT21" s="29">
        <f t="shared" si="66"/>
        <v>29952</v>
      </c>
      <c r="CU21" s="30">
        <f t="shared" si="52"/>
        <v>8</v>
      </c>
      <c r="CV21" s="27">
        <f t="shared" si="27"/>
        <v>228</v>
      </c>
      <c r="CW21" s="25">
        <f t="shared" si="67"/>
        <v>0.2245322171168967</v>
      </c>
      <c r="CX21" s="25">
        <f t="shared" si="28"/>
        <v>-0.18658678708195917</v>
      </c>
      <c r="CY21" s="25">
        <f t="shared" si="68"/>
        <v>0.5597425534350206</v>
      </c>
      <c r="CZ21" s="25">
        <f t="shared" si="69"/>
        <v>48361.75661678577</v>
      </c>
    </row>
    <row r="22" spans="1:104" ht="12.75">
      <c r="A22" s="149">
        <f t="shared" si="29"/>
        <v>30191</v>
      </c>
      <c r="B22" s="60">
        <f t="shared" si="71"/>
        <v>7.42</v>
      </c>
      <c r="C22" s="78">
        <f t="shared" si="53"/>
        <v>7.416666666666662</v>
      </c>
      <c r="D22" s="171">
        <f t="shared" si="30"/>
        <v>728589.0445631754</v>
      </c>
      <c r="E22" s="30">
        <f t="shared" si="70"/>
        <v>1111</v>
      </c>
      <c r="F22" s="27">
        <f t="shared" si="54"/>
        <v>6.859586752235687</v>
      </c>
      <c r="G22" s="27">
        <f t="shared" si="31"/>
        <v>19.595447629382914</v>
      </c>
      <c r="H22" s="27">
        <f t="shared" si="32"/>
        <v>69.33274015951086</v>
      </c>
      <c r="I22" s="27">
        <f t="shared" si="33"/>
        <v>76.19232691174655</v>
      </c>
      <c r="J22" s="27">
        <f t="shared" si="55"/>
        <v>95.78777454112947</v>
      </c>
      <c r="K22" s="27">
        <f t="shared" si="34"/>
        <v>4.015692769667988</v>
      </c>
      <c r="L22" s="27">
        <f t="shared" si="35"/>
        <v>2.7545992923863167</v>
      </c>
      <c r="M22" s="27">
        <f t="shared" si="56"/>
        <v>1.4305414171143458</v>
      </c>
      <c r="O22" s="25">
        <f t="shared" si="36"/>
        <v>0.012999999999999996</v>
      </c>
      <c r="P22" s="25">
        <f t="shared" si="37"/>
        <v>0.0891746277790639</v>
      </c>
      <c r="Q22" s="25">
        <f t="shared" si="1"/>
        <v>0.19595447629382914</v>
      </c>
      <c r="S22" s="27">
        <f t="shared" si="57"/>
        <v>62.4057067142312</v>
      </c>
      <c r="T22" s="27">
        <f t="shared" si="2"/>
        <v>13.390860344331102</v>
      </c>
      <c r="U22" s="27">
        <f t="shared" si="3"/>
        <v>0.19590200787392464</v>
      </c>
      <c r="V22" s="27">
        <f t="shared" si="4"/>
        <v>0.45</v>
      </c>
      <c r="W22" s="27">
        <f t="shared" si="5"/>
        <v>123.88959366858131</v>
      </c>
      <c r="X22" s="27">
        <f t="shared" si="6"/>
        <v>16.70421487666266</v>
      </c>
      <c r="Y22" s="27">
        <f t="shared" si="7"/>
        <v>15.646633205013316</v>
      </c>
      <c r="AA22" s="24">
        <f t="shared" si="8"/>
        <v>0.9247749451267473</v>
      </c>
      <c r="AB22" s="23">
        <f t="shared" si="9"/>
        <v>0.6276086684868536</v>
      </c>
      <c r="AC22" s="23">
        <f>IF('DadosReais&amp;Graficos'!soilClass&gt;0,0.8-0.1*'DadosReais&amp;Graficos'!soilClass,IF('DadosReais&amp;Graficos'!soilClass&lt;0,SWconst0,999))</f>
        <v>0.6000000000000001</v>
      </c>
      <c r="AD22" s="23">
        <f>IF('DadosReais&amp;Graficos'!soilClass&gt;0,11-2*'DadosReais&amp;Graficos'!soilClass,SWpower0)</f>
        <v>7</v>
      </c>
      <c r="AE22" s="24">
        <f>1/(1+((1-CD22/'DadosReais&amp;Graficos'!MaxASW)/AC22)^AD22)</f>
        <v>0.061466533854513644</v>
      </c>
      <c r="AF22" s="24">
        <f t="shared" si="58"/>
        <v>0.6</v>
      </c>
      <c r="AG22" s="27">
        <f t="shared" si="10"/>
        <v>1</v>
      </c>
      <c r="AH22" s="27">
        <f t="shared" si="11"/>
        <v>1</v>
      </c>
      <c r="AI22" s="27">
        <f t="shared" si="38"/>
        <v>0.999405977976631</v>
      </c>
      <c r="AJ22" s="24">
        <f t="shared" si="39"/>
        <v>0.06143002137970391</v>
      </c>
      <c r="AM22" s="27">
        <f t="shared" si="40"/>
        <v>516.5800094604492</v>
      </c>
      <c r="AN22" s="27">
        <f t="shared" si="12"/>
        <v>1</v>
      </c>
      <c r="AO22" s="27">
        <f t="shared" si="41"/>
        <v>0.747741177766414</v>
      </c>
      <c r="AP22" s="27">
        <f t="shared" si="59"/>
        <v>386.2681446845416</v>
      </c>
      <c r="AQ22" s="27">
        <f t="shared" si="60"/>
        <v>0.0031244919557802827</v>
      </c>
      <c r="AR22" s="27">
        <f t="shared" si="42"/>
        <v>0.17247195595907158</v>
      </c>
      <c r="AS22" s="27">
        <f t="shared" si="43"/>
        <v>1</v>
      </c>
      <c r="AT22" s="25">
        <f t="shared" si="44"/>
        <v>0.6662042243842455</v>
      </c>
      <c r="AU22" s="25">
        <f t="shared" si="13"/>
        <v>0.3131159854605954</v>
      </c>
      <c r="AW22" s="25">
        <f t="shared" si="14"/>
        <v>0.6</v>
      </c>
      <c r="AX22" s="25">
        <f t="shared" si="45"/>
        <v>0.11100415535458068</v>
      </c>
      <c r="AY22" s="25">
        <f t="shared" si="46"/>
        <v>0.46040429595835874</v>
      </c>
      <c r="AZ22" s="25">
        <f t="shared" si="61"/>
        <v>0.4856828855598902</v>
      </c>
      <c r="BA22" s="25">
        <f t="shared" si="62"/>
        <v>0.05391281848175106</v>
      </c>
      <c r="BB22" s="25">
        <f t="shared" si="15"/>
        <v>0.016880965287871683</v>
      </c>
      <c r="BC22" s="25">
        <f t="shared" si="16"/>
        <v>0.14415994483929312</v>
      </c>
      <c r="BD22" s="25">
        <f t="shared" si="17"/>
        <v>0.1520750753334306</v>
      </c>
      <c r="BG22" s="76">
        <f t="shared" si="47"/>
        <v>30195</v>
      </c>
      <c r="BH22" s="30">
        <f t="shared" si="18"/>
        <v>30</v>
      </c>
      <c r="BI22" s="27">
        <f>'PSP-1 Metdata'!D23</f>
        <v>19.5</v>
      </c>
      <c r="BJ22" s="28">
        <f>'PSP-1 Metdata'!E23</f>
        <v>26</v>
      </c>
      <c r="BK22" s="28">
        <f>'PSP-1 Metdata'!F23</f>
        <v>13</v>
      </c>
      <c r="BL22" s="28">
        <f>'PSP-1 Metdata'!G23</f>
        <v>53.52000122070313</v>
      </c>
      <c r="BM22" s="28">
        <f>'PSP-1 Metdata'!I23</f>
        <v>17.21933364868164</v>
      </c>
      <c r="BN22" s="28">
        <f>'PSP-1 Metdata'!J23</f>
        <v>6</v>
      </c>
      <c r="BO22" s="28">
        <f>'PSP-1 Metdata'!K23</f>
        <v>0</v>
      </c>
      <c r="BP22" s="25">
        <f>'PSP-1 Metdata'!L23</f>
        <v>33.6099785805441</v>
      </c>
      <c r="BQ22" s="25">
        <f>'PSP-1 Metdata'!M23</f>
        <v>14.976440736620033</v>
      </c>
      <c r="BR22" s="25">
        <f>'PSP-1 Metdata'!N23</f>
        <v>9.316768921962034</v>
      </c>
      <c r="BT22" s="25">
        <f t="shared" si="48"/>
        <v>43912.27946472623</v>
      </c>
      <c r="BU22" s="25">
        <f t="shared" si="19"/>
        <v>223.70420954828467</v>
      </c>
      <c r="BV22" s="25">
        <f t="shared" si="20"/>
        <v>0.2</v>
      </c>
      <c r="BW22" s="25">
        <f t="shared" si="21"/>
        <v>3421.3858710894115</v>
      </c>
      <c r="BX22" s="25">
        <f t="shared" si="22"/>
        <v>0.0010163068674102626</v>
      </c>
      <c r="BY22" s="25">
        <f t="shared" si="49"/>
        <v>199.9909559734029</v>
      </c>
      <c r="BZ22" s="25">
        <f t="shared" si="23"/>
        <v>19.56856055338875</v>
      </c>
      <c r="CA22" s="27">
        <f t="shared" si="24"/>
        <v>0.3493089836352945</v>
      </c>
      <c r="CB22" s="139">
        <f t="shared" si="50"/>
        <v>10.479269509058835</v>
      </c>
      <c r="CD22" s="27">
        <f>IF(CJ21&lt;'DadosReais&amp;Graficos'!MinASW,'DadosReais&amp;Graficos'!MinASW,IF(CJ21&gt;'DadosReais&amp;Graficos'!MaxASW,'DadosReais&amp;Graficos'!MaxASW,CJ21))</f>
        <v>22.86796632171869</v>
      </c>
      <c r="CE22" s="25">
        <f t="shared" si="25"/>
        <v>8.028000183105469</v>
      </c>
      <c r="CG22" s="27">
        <f t="shared" si="26"/>
        <v>76.38796754242182</v>
      </c>
      <c r="CH22" s="27">
        <f t="shared" si="51"/>
        <v>18.507269692164304</v>
      </c>
      <c r="CI22" s="27">
        <f>MAX(CG22-CH22-'DadosReais&amp;Graficos'!MaxASW,0)</f>
        <v>0</v>
      </c>
      <c r="CJ22" s="27">
        <f t="shared" si="63"/>
        <v>57.88069785025752</v>
      </c>
      <c r="CK22" s="27">
        <f>poolFractn*Month!CI22</f>
        <v>0</v>
      </c>
      <c r="CQ22" s="25">
        <f>SIN(PI()*'DadosReais&amp;Graficos'!Lat/180)</f>
        <v>0.6293203910498374</v>
      </c>
      <c r="CR22" s="25">
        <f>COS(PI()*'DadosReais&amp;Graficos'!Lat/180)</f>
        <v>0.7771459614569709</v>
      </c>
      <c r="CS22" s="25">
        <f t="shared" si="65"/>
        <v>1982</v>
      </c>
      <c r="CT22" s="29">
        <f t="shared" si="66"/>
        <v>29952</v>
      </c>
      <c r="CU22" s="30">
        <f t="shared" si="52"/>
        <v>9</v>
      </c>
      <c r="CV22" s="27">
        <f t="shared" si="27"/>
        <v>258</v>
      </c>
      <c r="CW22" s="25">
        <f t="shared" si="67"/>
        <v>0.031962948421114835</v>
      </c>
      <c r="CX22" s="25">
        <f t="shared" si="28"/>
        <v>-0.025896316893613495</v>
      </c>
      <c r="CY22" s="25">
        <f t="shared" si="68"/>
        <v>0.5082439752861831</v>
      </c>
      <c r="CZ22" s="25">
        <f t="shared" si="69"/>
        <v>43912.27946472623</v>
      </c>
    </row>
    <row r="23" spans="1:104" ht="12.75">
      <c r="A23" s="149">
        <f t="shared" si="29"/>
        <v>30222</v>
      </c>
      <c r="B23" s="60">
        <f t="shared" si="71"/>
        <v>7.5</v>
      </c>
      <c r="C23" s="78">
        <f t="shared" si="53"/>
        <v>7.499999999999995</v>
      </c>
      <c r="D23" s="171">
        <f t="shared" si="30"/>
        <v>728259.2093649897</v>
      </c>
      <c r="E23" s="30">
        <f t="shared" si="70"/>
        <v>1111</v>
      </c>
      <c r="F23" s="27">
        <f t="shared" si="54"/>
        <v>6.7872930897444945</v>
      </c>
      <c r="G23" s="27">
        <f t="shared" si="31"/>
        <v>19.543653097928377</v>
      </c>
      <c r="H23" s="27">
        <f t="shared" si="32"/>
        <v>69.48481523484429</v>
      </c>
      <c r="I23" s="27">
        <f t="shared" si="33"/>
        <v>76.27210832458879</v>
      </c>
      <c r="J23" s="27">
        <f t="shared" si="55"/>
        <v>95.81576142251717</v>
      </c>
      <c r="K23" s="27">
        <f t="shared" si="34"/>
        <v>4.013671875</v>
      </c>
      <c r="L23" s="27">
        <f t="shared" si="35"/>
        <v>2.724196738168933</v>
      </c>
      <c r="M23" s="27">
        <f t="shared" si="56"/>
        <v>1.5197160448934097</v>
      </c>
      <c r="O23" s="25">
        <f t="shared" si="36"/>
        <v>0.013</v>
      </c>
      <c r="P23" s="25">
        <f t="shared" si="37"/>
        <v>0.08823481016667842</v>
      </c>
      <c r="Q23" s="25">
        <f t="shared" si="1"/>
        <v>0.1954365309792838</v>
      </c>
      <c r="S23" s="27">
        <f t="shared" si="57"/>
        <v>62.54258797015688</v>
      </c>
      <c r="T23" s="27">
        <f t="shared" si="2"/>
        <v>13.401706310071573</v>
      </c>
      <c r="U23" s="27">
        <f t="shared" si="3"/>
        <v>0.1945952668126021</v>
      </c>
      <c r="V23" s="27">
        <f t="shared" si="4"/>
        <v>0.45</v>
      </c>
      <c r="W23" s="27">
        <f t="shared" si="5"/>
        <v>124.36310905510089</v>
      </c>
      <c r="X23" s="27">
        <f t="shared" si="6"/>
        <v>16.581747874013463</v>
      </c>
      <c r="Y23" s="27">
        <f t="shared" si="7"/>
        <v>15.671989540451655</v>
      </c>
      <c r="AA23" s="24">
        <f t="shared" si="8"/>
        <v>0.9831241710407179</v>
      </c>
      <c r="AB23" s="23">
        <f t="shared" si="9"/>
        <v>0.7303600361898367</v>
      </c>
      <c r="AC23" s="23">
        <f>IF('DadosReais&amp;Graficos'!soilClass&gt;0,0.8-0.1*'DadosReais&amp;Graficos'!soilClass,IF('DadosReais&amp;Graficos'!soilClass&lt;0,SWconst0,999))</f>
        <v>0.6000000000000001</v>
      </c>
      <c r="AD23" s="23">
        <f>IF('DadosReais&amp;Graficos'!soilClass&gt;0,11-2*'DadosReais&amp;Graficos'!soilClass,SWpower0)</f>
        <v>7</v>
      </c>
      <c r="AE23" s="24">
        <f>1/(1+((1-CD23/'DadosReais&amp;Graficos'!MaxASW)/AC23)^AD23)</f>
        <v>0.2342932322707261</v>
      </c>
      <c r="AF23" s="24">
        <f t="shared" si="58"/>
        <v>0.6</v>
      </c>
      <c r="AG23" s="27">
        <f t="shared" si="10"/>
        <v>1</v>
      </c>
      <c r="AH23" s="27">
        <f t="shared" si="11"/>
        <v>1</v>
      </c>
      <c r="AI23" s="27">
        <f t="shared" si="38"/>
        <v>0.9993788438827624</v>
      </c>
      <c r="AJ23" s="24">
        <f t="shared" si="39"/>
        <v>0.23414769959627377</v>
      </c>
      <c r="AM23" s="27">
        <f t="shared" si="40"/>
        <v>412.70999813079834</v>
      </c>
      <c r="AN23" s="27">
        <f t="shared" si="12"/>
        <v>1</v>
      </c>
      <c r="AO23" s="27">
        <f t="shared" si="41"/>
        <v>0.7438772274227138</v>
      </c>
      <c r="AP23" s="27">
        <f t="shared" si="59"/>
        <v>307.00556913917166</v>
      </c>
      <c r="AQ23" s="27">
        <f t="shared" si="60"/>
        <v>0.012660794468667273</v>
      </c>
      <c r="AR23" s="27">
        <f t="shared" si="42"/>
        <v>0.6988758546704334</v>
      </c>
      <c r="AS23" s="27">
        <f t="shared" si="43"/>
        <v>1</v>
      </c>
      <c r="AT23" s="25">
        <f t="shared" si="44"/>
        <v>2.145587795207214</v>
      </c>
      <c r="AU23" s="25">
        <f t="shared" si="13"/>
        <v>1.0084262637473906</v>
      </c>
      <c r="AW23" s="25">
        <f t="shared" si="14"/>
        <v>0.6</v>
      </c>
      <c r="AX23" s="25">
        <f t="shared" si="45"/>
        <v>0.1109571732756838</v>
      </c>
      <c r="AY23" s="25">
        <f t="shared" si="46"/>
        <v>0.376560812720687</v>
      </c>
      <c r="AZ23" s="25">
        <f t="shared" si="61"/>
        <v>0.56117301573479</v>
      </c>
      <c r="BA23" s="25">
        <f t="shared" si="62"/>
        <v>0.062266171544523075</v>
      </c>
      <c r="BB23" s="25">
        <f t="shared" si="15"/>
        <v>0.0627908427284975</v>
      </c>
      <c r="BC23" s="25">
        <f t="shared" si="16"/>
        <v>0.37973381344560325</v>
      </c>
      <c r="BD23" s="25">
        <f t="shared" si="17"/>
        <v>0.5659016075732899</v>
      </c>
      <c r="BG23" s="76">
        <f t="shared" si="47"/>
        <v>30225</v>
      </c>
      <c r="BH23" s="30">
        <f t="shared" si="18"/>
        <v>31</v>
      </c>
      <c r="BI23" s="27">
        <f>'PSP-1 Metdata'!D24</f>
        <v>14.499999523162842</v>
      </c>
      <c r="BJ23" s="28">
        <f>'PSP-1 Metdata'!E24</f>
        <v>20.299999237060547</v>
      </c>
      <c r="BK23" s="28">
        <f>'PSP-1 Metdata'!F24</f>
        <v>8.699999809265137</v>
      </c>
      <c r="BL23" s="28">
        <f>'PSP-1 Metdata'!G24</f>
        <v>43.76000061035157</v>
      </c>
      <c r="BM23" s="28">
        <f>'PSP-1 Metdata'!I24</f>
        <v>13.313225746154785</v>
      </c>
      <c r="BN23" s="28">
        <f>'PSP-1 Metdata'!J24</f>
        <v>8</v>
      </c>
      <c r="BO23" s="28">
        <f>'PSP-1 Metdata'!K24</f>
        <v>0</v>
      </c>
      <c r="BP23" s="25">
        <f>'PSP-1 Metdata'!L24</f>
        <v>23.81793523955027</v>
      </c>
      <c r="BQ23" s="25">
        <f>'PSP-1 Metdata'!M24</f>
        <v>11.24922859303334</v>
      </c>
      <c r="BR23" s="25">
        <f>'PSP-1 Metdata'!N24</f>
        <v>6.284353323258465</v>
      </c>
      <c r="BT23" s="25">
        <f t="shared" si="48"/>
        <v>39224.4387806368</v>
      </c>
      <c r="BU23" s="25">
        <f t="shared" si="19"/>
        <v>181.52920291574708</v>
      </c>
      <c r="BV23" s="25">
        <f t="shared" si="20"/>
        <v>0.2</v>
      </c>
      <c r="BW23" s="25">
        <f t="shared" si="21"/>
        <v>2307.7955296762184</v>
      </c>
      <c r="BX23" s="25">
        <f t="shared" si="22"/>
        <v>0.003831017414353923</v>
      </c>
      <c r="BY23" s="25">
        <f t="shared" si="49"/>
        <v>55.4054531129634</v>
      </c>
      <c r="BZ23" s="25">
        <f t="shared" si="23"/>
        <v>48.860890471762225</v>
      </c>
      <c r="CA23" s="27">
        <f t="shared" si="24"/>
        <v>0.7790817101939177</v>
      </c>
      <c r="CB23" s="139">
        <f t="shared" si="50"/>
        <v>24.15153301601145</v>
      </c>
      <c r="CD23" s="27">
        <f>IF(CJ22&lt;'DadosReais&amp;Graficos'!MinASW,'DadosReais&amp;Graficos'!MinASW,IF(CJ22&gt;'DadosReais&amp;Graficos'!MaxASW,'DadosReais&amp;Graficos'!MaxASW,CJ22))</f>
        <v>57.88069785025752</v>
      </c>
      <c r="CE23" s="25">
        <f t="shared" si="25"/>
        <v>6.564000091552735</v>
      </c>
      <c r="CG23" s="27">
        <f t="shared" si="26"/>
        <v>101.64069846060909</v>
      </c>
      <c r="CH23" s="27">
        <f t="shared" si="51"/>
        <v>30.715533107564184</v>
      </c>
      <c r="CI23" s="27">
        <f>MAX(CG23-CH23-'DadosReais&amp;Graficos'!MaxASW,0)</f>
        <v>0</v>
      </c>
      <c r="CJ23" s="27">
        <f t="shared" si="63"/>
        <v>70.9251653530449</v>
      </c>
      <c r="CK23" s="27">
        <f>poolFractn*Month!CI23</f>
        <v>0</v>
      </c>
      <c r="CQ23" s="25">
        <f>SIN(PI()*'DadosReais&amp;Graficos'!Lat/180)</f>
        <v>0.6293203910498374</v>
      </c>
      <c r="CR23" s="25">
        <f>COS(PI()*'DadosReais&amp;Graficos'!Lat/180)</f>
        <v>0.7771459614569709</v>
      </c>
      <c r="CS23" s="25">
        <f t="shared" si="65"/>
        <v>1982</v>
      </c>
      <c r="CT23" s="29">
        <f t="shared" si="66"/>
        <v>29952</v>
      </c>
      <c r="CU23" s="30">
        <f t="shared" si="52"/>
        <v>10</v>
      </c>
      <c r="CV23" s="27">
        <f t="shared" si="27"/>
        <v>289</v>
      </c>
      <c r="CW23" s="25">
        <f t="shared" si="67"/>
        <v>-0.1751405350728837</v>
      </c>
      <c r="CX23" s="25">
        <f t="shared" si="28"/>
        <v>0.14405256542254885</v>
      </c>
      <c r="CY23" s="25">
        <f t="shared" si="68"/>
        <v>0.4539865599610741</v>
      </c>
      <c r="CZ23" s="25">
        <f t="shared" si="69"/>
        <v>39224.4387806368</v>
      </c>
    </row>
    <row r="24" spans="1:104" ht="12.75">
      <c r="A24" s="149">
        <f t="shared" si="29"/>
        <v>30252</v>
      </c>
      <c r="B24" s="60">
        <f t="shared" si="71"/>
        <v>7.58</v>
      </c>
      <c r="C24" s="78">
        <f t="shared" si="53"/>
        <v>7.583333333333328</v>
      </c>
      <c r="D24" s="171">
        <f t="shared" si="30"/>
        <v>719802.5137521989</v>
      </c>
      <c r="E24" s="30">
        <f t="shared" si="70"/>
        <v>1111</v>
      </c>
      <c r="F24" s="27">
        <f t="shared" si="54"/>
        <v>6.761849122306313</v>
      </c>
      <c r="G24" s="27">
        <f t="shared" si="31"/>
        <v>19.7279503803947</v>
      </c>
      <c r="H24" s="27">
        <f t="shared" si="32"/>
        <v>70.05071684241759</v>
      </c>
      <c r="I24" s="27">
        <f t="shared" si="33"/>
        <v>76.8125659647239</v>
      </c>
      <c r="J24" s="27">
        <f t="shared" si="55"/>
        <v>96.54051634511859</v>
      </c>
      <c r="K24" s="27">
        <f t="shared" si="34"/>
        <v>4.0118928954801</v>
      </c>
      <c r="L24" s="27">
        <f t="shared" si="35"/>
        <v>2.712781445408905</v>
      </c>
      <c r="M24" s="27">
        <f t="shared" si="56"/>
        <v>1.607950855060088</v>
      </c>
      <c r="O24" s="25">
        <f t="shared" si="36"/>
        <v>0.013</v>
      </c>
      <c r="P24" s="25">
        <f t="shared" si="37"/>
        <v>0.08790403858998207</v>
      </c>
      <c r="Q24" s="25">
        <f t="shared" si="1"/>
        <v>0.197279503803947</v>
      </c>
      <c r="S24" s="27">
        <f t="shared" si="57"/>
        <v>63.05195035321115</v>
      </c>
      <c r="T24" s="27">
        <f t="shared" si="2"/>
        <v>13.441935354236287</v>
      </c>
      <c r="U24" s="27">
        <f t="shared" si="3"/>
        <v>0.19332572613271032</v>
      </c>
      <c r="V24" s="27">
        <f t="shared" si="4"/>
        <v>0.45</v>
      </c>
      <c r="W24" s="27">
        <f t="shared" si="5"/>
        <v>125.57358031720071</v>
      </c>
      <c r="X24" s="27">
        <f t="shared" si="6"/>
        <v>16.559153448422084</v>
      </c>
      <c r="Y24" s="27">
        <f t="shared" si="7"/>
        <v>15.766218649980047</v>
      </c>
      <c r="AA24" s="24">
        <f t="shared" si="8"/>
        <v>0.8822511414262851</v>
      </c>
      <c r="AB24" s="23">
        <f t="shared" si="9"/>
        <v>0.7892691873675842</v>
      </c>
      <c r="AC24" s="23">
        <f>IF('DadosReais&amp;Graficos'!soilClass&gt;0,0.8-0.1*'DadosReais&amp;Graficos'!soilClass,IF('DadosReais&amp;Graficos'!soilClass&lt;0,SWconst0,999))</f>
        <v>0.6000000000000001</v>
      </c>
      <c r="AD24" s="23">
        <f>IF('DadosReais&amp;Graficos'!soilClass&gt;0,11-2*'DadosReais&amp;Graficos'!soilClass,SWpower0)</f>
        <v>7</v>
      </c>
      <c r="AE24" s="24">
        <f>1/(1+((1-CD24/'DadosReais&amp;Graficos'!MaxASW)/AC24)^AD24)</f>
        <v>0.3751222053018097</v>
      </c>
      <c r="AF24" s="24">
        <f t="shared" si="58"/>
        <v>0.6</v>
      </c>
      <c r="AG24" s="27">
        <f t="shared" si="10"/>
        <v>1</v>
      </c>
      <c r="AH24" s="27">
        <f t="shared" si="11"/>
        <v>0.9666666666666667</v>
      </c>
      <c r="AI24" s="27">
        <f t="shared" si="38"/>
        <v>0.99935079163443</v>
      </c>
      <c r="AJ24" s="24">
        <f t="shared" si="39"/>
        <v>0.3748786728280167</v>
      </c>
      <c r="AM24" s="27">
        <f t="shared" si="40"/>
        <v>237.46999740600586</v>
      </c>
      <c r="AN24" s="27">
        <f t="shared" si="12"/>
        <v>1</v>
      </c>
      <c r="AO24" s="27">
        <f t="shared" si="41"/>
        <v>0.7424111893735441</v>
      </c>
      <c r="AP24" s="27">
        <f t="shared" si="59"/>
        <v>176.30038321472526</v>
      </c>
      <c r="AQ24" s="27">
        <f t="shared" si="60"/>
        <v>0.01758419111710758</v>
      </c>
      <c r="AR24" s="27">
        <f t="shared" si="42"/>
        <v>0.9706473496643383</v>
      </c>
      <c r="AS24" s="27">
        <f t="shared" si="43"/>
        <v>1</v>
      </c>
      <c r="AT24" s="25">
        <f t="shared" si="44"/>
        <v>1.7112549971218027</v>
      </c>
      <c r="AU24" s="25">
        <f t="shared" si="13"/>
        <v>0.8042898486472473</v>
      </c>
      <c r="AW24" s="25">
        <f t="shared" si="14"/>
        <v>0.6</v>
      </c>
      <c r="AX24" s="25">
        <f t="shared" si="45"/>
        <v>0.11078341531863199</v>
      </c>
      <c r="AY24" s="25">
        <f t="shared" si="46"/>
        <v>0.3279053753210572</v>
      </c>
      <c r="AZ24" s="25">
        <f t="shared" si="61"/>
        <v>0.6050636113307022</v>
      </c>
      <c r="BA24" s="25">
        <f t="shared" si="62"/>
        <v>0.06703101334824058</v>
      </c>
      <c r="BB24" s="25">
        <f t="shared" si="15"/>
        <v>0.053912363580528026</v>
      </c>
      <c r="BC24" s="25">
        <f t="shared" si="16"/>
        <v>0.2637309646875919</v>
      </c>
      <c r="BD24" s="25">
        <f t="shared" si="17"/>
        <v>0.4866465203791273</v>
      </c>
      <c r="BG24" s="76">
        <f t="shared" si="47"/>
        <v>30256</v>
      </c>
      <c r="BH24" s="30">
        <f t="shared" si="18"/>
        <v>30</v>
      </c>
      <c r="BI24" s="27">
        <f>'PSP-1 Metdata'!D25</f>
        <v>12.200000286102295</v>
      </c>
      <c r="BJ24" s="28">
        <f>'PSP-1 Metdata'!E25</f>
        <v>17.200000762939453</v>
      </c>
      <c r="BK24" s="28">
        <f>'PSP-1 Metdata'!F25</f>
        <v>7.199999809265137</v>
      </c>
      <c r="BL24" s="28">
        <f>'PSP-1 Metdata'!G25</f>
        <v>130.8</v>
      </c>
      <c r="BM24" s="28">
        <f>'PSP-1 Metdata'!I25</f>
        <v>7.915666580200195</v>
      </c>
      <c r="BN24" s="28">
        <f>'PSP-1 Metdata'!J25</f>
        <v>12</v>
      </c>
      <c r="BO24" s="28">
        <f>'PSP-1 Metdata'!K25</f>
        <v>1</v>
      </c>
      <c r="BP24" s="25">
        <f>'PSP-1 Metdata'!L25</f>
        <v>19.62228875979055</v>
      </c>
      <c r="BQ24" s="25">
        <f>'PSP-1 Metdata'!M25</f>
        <v>10.156375121689901</v>
      </c>
      <c r="BR24" s="25">
        <f>'PSP-1 Metdata'!N25</f>
        <v>4.732956819050324</v>
      </c>
      <c r="BT24" s="25">
        <f t="shared" si="48"/>
        <v>35312.835538885876</v>
      </c>
      <c r="BU24" s="25">
        <f t="shared" si="19"/>
        <v>89.32667166268428</v>
      </c>
      <c r="BV24" s="25">
        <f t="shared" si="20"/>
        <v>0.2</v>
      </c>
      <c r="BW24" s="25">
        <f t="shared" si="21"/>
        <v>1738.078053111668</v>
      </c>
      <c r="BX24" s="25">
        <f t="shared" si="22"/>
        <v>0.006107891338903057</v>
      </c>
      <c r="BY24" s="25">
        <f t="shared" si="49"/>
        <v>35.944524894563514</v>
      </c>
      <c r="BZ24" s="25">
        <f t="shared" si="23"/>
        <v>53.82173603474654</v>
      </c>
      <c r="CA24" s="27">
        <f t="shared" si="24"/>
        <v>0.7726008589481026</v>
      </c>
      <c r="CB24" s="139">
        <f t="shared" si="50"/>
        <v>23.178025768443078</v>
      </c>
      <c r="CD24" s="27">
        <f>IF(CJ23&lt;'DadosReais&amp;Graficos'!MinASW,'DadosReais&amp;Graficos'!MinASW,IF(CJ23&gt;'DadosReais&amp;Graficos'!MaxASW,'DadosReais&amp;Graficos'!MaxASW,CJ23))</f>
        <v>70.9251653530449</v>
      </c>
      <c r="CE24" s="25">
        <f t="shared" si="25"/>
        <v>19.62</v>
      </c>
      <c r="CG24" s="27">
        <f t="shared" si="26"/>
        <v>201.72516535304493</v>
      </c>
      <c r="CH24" s="27">
        <f t="shared" si="51"/>
        <v>42.79802576844308</v>
      </c>
      <c r="CI24" s="27">
        <f>MAX(CG24-CH24-'DadosReais&amp;Graficos'!MaxASW,0)</f>
        <v>0</v>
      </c>
      <c r="CJ24" s="27">
        <f t="shared" si="63"/>
        <v>158.92713958460183</v>
      </c>
      <c r="CK24" s="27">
        <f>poolFractn*Month!CI24</f>
        <v>0</v>
      </c>
      <c r="CQ24" s="25">
        <f>SIN(PI()*'DadosReais&amp;Graficos'!Lat/180)</f>
        <v>0.6293203910498374</v>
      </c>
      <c r="CR24" s="25">
        <f>COS(PI()*'DadosReais&amp;Graficos'!Lat/180)</f>
        <v>0.7771459614569709</v>
      </c>
      <c r="CS24" s="25">
        <f t="shared" si="65"/>
        <v>1982</v>
      </c>
      <c r="CT24" s="29">
        <f t="shared" si="66"/>
        <v>29952</v>
      </c>
      <c r="CU24" s="30">
        <f t="shared" si="52"/>
        <v>11</v>
      </c>
      <c r="CV24" s="27">
        <f t="shared" si="27"/>
        <v>319</v>
      </c>
      <c r="CW24" s="25">
        <f t="shared" si="67"/>
        <v>-0.3297749470179898</v>
      </c>
      <c r="CX24" s="25">
        <f t="shared" si="28"/>
        <v>0.2828703751751745</v>
      </c>
      <c r="CY24" s="25">
        <f t="shared" si="68"/>
        <v>0.40871337429266064</v>
      </c>
      <c r="CZ24" s="25">
        <f t="shared" si="69"/>
        <v>35312.835538885876</v>
      </c>
    </row>
    <row r="25" spans="1:104" ht="12.75">
      <c r="A25" s="149">
        <f t="shared" si="29"/>
        <v>30283</v>
      </c>
      <c r="B25" s="60">
        <f t="shared" si="71"/>
        <v>7.67</v>
      </c>
      <c r="C25" s="78">
        <f t="shared" si="53"/>
        <v>7.666666666666661</v>
      </c>
      <c r="D25" s="171">
        <f t="shared" si="30"/>
        <v>713844.204733319</v>
      </c>
      <c r="E25" s="30">
        <f t="shared" si="70"/>
        <v>1111</v>
      </c>
      <c r="F25" s="27">
        <f t="shared" si="54"/>
        <v>6.727857447296859</v>
      </c>
      <c r="G25" s="27">
        <f t="shared" si="31"/>
        <v>19.794401841278344</v>
      </c>
      <c r="H25" s="27">
        <f t="shared" si="32"/>
        <v>70.53736336279671</v>
      </c>
      <c r="I25" s="27">
        <f t="shared" si="33"/>
        <v>77.26522081009357</v>
      </c>
      <c r="J25" s="27">
        <f t="shared" si="55"/>
        <v>97.05962265137191</v>
      </c>
      <c r="K25" s="27">
        <f t="shared" si="34"/>
        <v>4.010329473116361</v>
      </c>
      <c r="L25" s="27">
        <f t="shared" si="35"/>
        <v>2.698092501182</v>
      </c>
      <c r="M25" s="27">
        <f t="shared" si="56"/>
        <v>1.6958548936500701</v>
      </c>
      <c r="O25" s="25">
        <f t="shared" si="36"/>
        <v>0.013</v>
      </c>
      <c r="P25" s="25">
        <f t="shared" si="37"/>
        <v>0.08746214681485917</v>
      </c>
      <c r="Q25" s="25">
        <f t="shared" si="1"/>
        <v>0.19794401841278345</v>
      </c>
      <c r="S25" s="27">
        <f t="shared" si="57"/>
        <v>63.48997602411944</v>
      </c>
      <c r="T25" s="27">
        <f t="shared" si="2"/>
        <v>13.476366731312861</v>
      </c>
      <c r="U25" s="27">
        <f t="shared" si="3"/>
        <v>0.19209232681160157</v>
      </c>
      <c r="V25" s="27">
        <f t="shared" si="4"/>
        <v>0.45</v>
      </c>
      <c r="W25" s="27">
        <f t="shared" si="5"/>
        <v>126.63928246062594</v>
      </c>
      <c r="X25" s="27">
        <f t="shared" si="6"/>
        <v>16.518167277472962</v>
      </c>
      <c r="Y25" s="27">
        <f t="shared" si="7"/>
        <v>15.84709210469377</v>
      </c>
      <c r="AA25" s="24">
        <f t="shared" si="8"/>
        <v>0.6891288099021634</v>
      </c>
      <c r="AB25" s="23">
        <f t="shared" si="9"/>
        <v>0.8343068881270145</v>
      </c>
      <c r="AC25" s="23">
        <f>IF('DadosReais&amp;Graficos'!soilClass&gt;0,0.8-0.1*'DadosReais&amp;Graficos'!soilClass,IF('DadosReais&amp;Graficos'!soilClass&lt;0,SWconst0,999))</f>
        <v>0.6000000000000001</v>
      </c>
      <c r="AD25" s="23">
        <f>IF('DadosReais&amp;Graficos'!soilClass&gt;0,11-2*'DadosReais&amp;Graficos'!soilClass,SWpower0)</f>
        <v>7</v>
      </c>
      <c r="AE25" s="24">
        <f>1/(1+((1-CD25/'DadosReais&amp;Graficos'!MaxASW)/AC25)^AD25)</f>
        <v>0.9994499818932192</v>
      </c>
      <c r="AF25" s="24">
        <f t="shared" si="58"/>
        <v>0.6</v>
      </c>
      <c r="AG25" s="27">
        <f t="shared" si="10"/>
        <v>1</v>
      </c>
      <c r="AH25" s="27">
        <f t="shared" si="11"/>
        <v>0.8333333333333334</v>
      </c>
      <c r="AI25" s="27">
        <f t="shared" si="38"/>
        <v>0.9993218008383145</v>
      </c>
      <c r="AJ25" s="24">
        <f t="shared" si="39"/>
        <v>0.8337410618948983</v>
      </c>
      <c r="AM25" s="27">
        <f t="shared" si="40"/>
        <v>206.93999481201172</v>
      </c>
      <c r="AN25" s="27">
        <f t="shared" si="12"/>
        <v>1</v>
      </c>
      <c r="AO25" s="27">
        <f t="shared" si="41"/>
        <v>0.740512371163847</v>
      </c>
      <c r="AP25" s="27">
        <f t="shared" si="59"/>
        <v>153.24162624687702</v>
      </c>
      <c r="AQ25" s="27">
        <f t="shared" si="60"/>
        <v>0.026333770180217368</v>
      </c>
      <c r="AR25" s="27">
        <f t="shared" si="42"/>
        <v>1.4536241139479986</v>
      </c>
      <c r="AS25" s="27">
        <f t="shared" si="43"/>
        <v>1</v>
      </c>
      <c r="AT25" s="25">
        <f t="shared" si="44"/>
        <v>2.2275572317306698</v>
      </c>
      <c r="AU25" s="25">
        <f t="shared" si="13"/>
        <v>1.0469518989134148</v>
      </c>
      <c r="AW25" s="25">
        <f t="shared" si="14"/>
        <v>0.6</v>
      </c>
      <c r="AX25" s="25">
        <f t="shared" si="45"/>
        <v>0.11063532649983804</v>
      </c>
      <c r="AY25" s="25">
        <f t="shared" si="46"/>
        <v>0.23070844938743382</v>
      </c>
      <c r="AZ25" s="25">
        <f t="shared" si="61"/>
        <v>0.692658996393519</v>
      </c>
      <c r="BA25" s="25">
        <f t="shared" si="62"/>
        <v>0.07663255421904713</v>
      </c>
      <c r="BB25" s="25">
        <f t="shared" si="15"/>
        <v>0.0802305981582166</v>
      </c>
      <c r="BC25" s="25">
        <f t="shared" si="16"/>
        <v>0.24154064918154328</v>
      </c>
      <c r="BD25" s="25">
        <f t="shared" si="17"/>
        <v>0.7251806515736549</v>
      </c>
      <c r="BG25" s="76">
        <f t="shared" si="47"/>
        <v>30286</v>
      </c>
      <c r="BH25" s="30">
        <f t="shared" si="18"/>
        <v>31</v>
      </c>
      <c r="BI25" s="27">
        <f>'PSP-1 Metdata'!D26</f>
        <v>10.049999713897705</v>
      </c>
      <c r="BJ25" s="28">
        <f>'PSP-1 Metdata'!E26</f>
        <v>14.399999618530273</v>
      </c>
      <c r="BK25" s="28">
        <f>'PSP-1 Metdata'!F26</f>
        <v>5.699999809265137</v>
      </c>
      <c r="BL25" s="28">
        <f>'PSP-1 Metdata'!G26</f>
        <v>70.47999877929688</v>
      </c>
      <c r="BM25" s="28">
        <f>'PSP-1 Metdata'!I26</f>
        <v>6.675483703613281</v>
      </c>
      <c r="BN25" s="28">
        <f>'PSP-1 Metdata'!J26</f>
        <v>10</v>
      </c>
      <c r="BO25" s="28">
        <f>'PSP-1 Metdata'!K26</f>
        <v>5</v>
      </c>
      <c r="BP25" s="25">
        <f>'PSP-1 Metdata'!L26</f>
        <v>16.404288266264405</v>
      </c>
      <c r="BQ25" s="25">
        <f>'PSP-1 Metdata'!M26</f>
        <v>9.158129348946959</v>
      </c>
      <c r="BR25" s="25">
        <f>'PSP-1 Metdata'!N26</f>
        <v>3.623079458658723</v>
      </c>
      <c r="BT25" s="25">
        <f t="shared" si="48"/>
        <v>33294.53956575766</v>
      </c>
      <c r="BU25" s="25">
        <f t="shared" si="19"/>
        <v>70.39828249744107</v>
      </c>
      <c r="BV25" s="25">
        <f t="shared" si="20"/>
        <v>0.2</v>
      </c>
      <c r="BW25" s="25">
        <f t="shared" si="21"/>
        <v>1330.4991219078927</v>
      </c>
      <c r="BX25" s="25">
        <f t="shared" si="22"/>
        <v>0.013510573615772629</v>
      </c>
      <c r="BY25" s="25">
        <f t="shared" si="49"/>
        <v>18.003220476628343</v>
      </c>
      <c r="BZ25" s="25">
        <f t="shared" si="23"/>
        <v>82.50609080361856</v>
      </c>
      <c r="CA25" s="27">
        <f t="shared" si="24"/>
        <v>1.1166676035272651</v>
      </c>
      <c r="CB25" s="139">
        <f t="shared" si="50"/>
        <v>34.61669570934522</v>
      </c>
      <c r="CD25" s="27">
        <f>IF(CJ24&lt;'DadosReais&amp;Graficos'!MinASW,'DadosReais&amp;Graficos'!MinASW,IF(CJ24&gt;'DadosReais&amp;Graficos'!MaxASW,'DadosReais&amp;Graficos'!MaxASW,CJ24))</f>
        <v>158.92713958460183</v>
      </c>
      <c r="CE25" s="25">
        <f t="shared" si="25"/>
        <v>10.57199981689453</v>
      </c>
      <c r="CG25" s="27">
        <f t="shared" si="26"/>
        <v>229.4071383638987</v>
      </c>
      <c r="CH25" s="27">
        <f t="shared" si="51"/>
        <v>45.188695526239755</v>
      </c>
      <c r="CI25" s="27">
        <f>MAX(CG25-CH25-'DadosReais&amp;Graficos'!MaxASW,0)</f>
        <v>0</v>
      </c>
      <c r="CJ25" s="27">
        <f t="shared" si="63"/>
        <v>184.21844283765893</v>
      </c>
      <c r="CK25" s="27">
        <f>poolFractn*Month!CI25</f>
        <v>0</v>
      </c>
      <c r="CQ25" s="25">
        <f>SIN(PI()*'DadosReais&amp;Graficos'!Lat/180)</f>
        <v>0.6293203910498374</v>
      </c>
      <c r="CR25" s="25">
        <f>COS(PI()*'DadosReais&amp;Graficos'!Lat/180)</f>
        <v>0.7771459614569709</v>
      </c>
      <c r="CS25" s="25">
        <f t="shared" si="65"/>
        <v>1982</v>
      </c>
      <c r="CT25" s="29">
        <f t="shared" si="66"/>
        <v>29952</v>
      </c>
      <c r="CU25" s="30">
        <f t="shared" si="52"/>
        <v>12</v>
      </c>
      <c r="CV25" s="27">
        <f t="shared" si="27"/>
        <v>350</v>
      </c>
      <c r="CW25" s="25">
        <f t="shared" si="67"/>
        <v>-0.39906495399591085</v>
      </c>
      <c r="CX25" s="25">
        <f t="shared" si="28"/>
        <v>0.352435862283474</v>
      </c>
      <c r="CY25" s="25">
        <f t="shared" si="68"/>
        <v>0.3853534671962692</v>
      </c>
      <c r="CZ25" s="25">
        <f t="shared" si="69"/>
        <v>33294.53956575766</v>
      </c>
    </row>
    <row r="26" spans="1:104" ht="12.75">
      <c r="A26" s="149">
        <f t="shared" si="29"/>
        <v>30313</v>
      </c>
      <c r="B26" s="60">
        <f t="shared" si="71"/>
        <v>7.75</v>
      </c>
      <c r="C26" s="78">
        <f t="shared" si="53"/>
        <v>7.749999999999994</v>
      </c>
      <c r="D26" s="171">
        <f t="shared" si="30"/>
        <v>705248.7983969757</v>
      </c>
      <c r="E26" s="30">
        <f t="shared" si="70"/>
        <v>1111</v>
      </c>
      <c r="F26" s="27">
        <f t="shared" si="54"/>
        <v>6.7206258986402165</v>
      </c>
      <c r="G26" s="27">
        <f t="shared" si="31"/>
        <v>19.837998472047104</v>
      </c>
      <c r="H26" s="27">
        <f t="shared" si="32"/>
        <v>71.26254401437036</v>
      </c>
      <c r="I26" s="27">
        <f t="shared" si="33"/>
        <v>77.98316991301058</v>
      </c>
      <c r="J26" s="27">
        <f t="shared" si="55"/>
        <v>97.82116838505769</v>
      </c>
      <c r="K26" s="27">
        <f t="shared" si="34"/>
        <v>4.008957767409188</v>
      </c>
      <c r="L26" s="27">
        <f t="shared" si="35"/>
        <v>2.694270539820505</v>
      </c>
      <c r="M26" s="27">
        <f t="shared" si="56"/>
        <v>1.7833170404649292</v>
      </c>
      <c r="O26" s="25">
        <f t="shared" si="36"/>
        <v>0.013</v>
      </c>
      <c r="P26" s="25">
        <f t="shared" si="37"/>
        <v>0.08736813668232281</v>
      </c>
      <c r="Q26" s="25">
        <f t="shared" si="1"/>
        <v>0.19837998472047105</v>
      </c>
      <c r="S26" s="27">
        <f t="shared" si="57"/>
        <v>64.14270388332166</v>
      </c>
      <c r="T26" s="27">
        <f t="shared" si="2"/>
        <v>13.527398187270258</v>
      </c>
      <c r="U26" s="27">
        <f t="shared" si="3"/>
        <v>0.19089403997494725</v>
      </c>
      <c r="V26" s="27">
        <f t="shared" si="4"/>
        <v>0.45</v>
      </c>
      <c r="W26" s="27">
        <f t="shared" si="5"/>
        <v>128.13099797461047</v>
      </c>
      <c r="X26" s="27">
        <f t="shared" si="6"/>
        <v>16.533031996723945</v>
      </c>
      <c r="Y26" s="27">
        <f t="shared" si="7"/>
        <v>15.967336880809253</v>
      </c>
      <c r="AA26" s="24">
        <f t="shared" si="8"/>
        <v>0.589121256245128</v>
      </c>
      <c r="AB26" s="23">
        <f t="shared" si="9"/>
        <v>0.774953560265141</v>
      </c>
      <c r="AC26" s="23">
        <f>IF('DadosReais&amp;Graficos'!soilClass&gt;0,0.8-0.1*'DadosReais&amp;Graficos'!soilClass,IF('DadosReais&amp;Graficos'!soilClass&lt;0,SWconst0,999))</f>
        <v>0.6000000000000001</v>
      </c>
      <c r="AD26" s="23">
        <f>IF('DadosReais&amp;Graficos'!soilClass&gt;0,11-2*'DadosReais&amp;Graficos'!soilClass,SWpower0)</f>
        <v>7</v>
      </c>
      <c r="AE26" s="24">
        <f>1/(1+((1-CD26/'DadosReais&amp;Graficos'!MaxASW)/AC26)^AD26)</f>
        <v>0.9999993195754868</v>
      </c>
      <c r="AF26" s="24">
        <f t="shared" si="58"/>
        <v>0.6</v>
      </c>
      <c r="AG26" s="27">
        <f t="shared" si="10"/>
        <v>1</v>
      </c>
      <c r="AH26" s="27">
        <f t="shared" si="11"/>
        <v>0.6</v>
      </c>
      <c r="AI26" s="27">
        <f t="shared" si="38"/>
        <v>0.9992918508840323</v>
      </c>
      <c r="AJ26" s="24">
        <f t="shared" si="39"/>
        <v>0.7744047775865232</v>
      </c>
      <c r="AM26" s="27">
        <f t="shared" si="40"/>
        <v>264.5300064086914</v>
      </c>
      <c r="AN26" s="27">
        <f t="shared" si="12"/>
        <v>1</v>
      </c>
      <c r="AO26" s="27">
        <f t="shared" si="41"/>
        <v>0.7400160212117131</v>
      </c>
      <c r="AP26" s="27">
        <f t="shared" si="59"/>
        <v>195.75644283366879</v>
      </c>
      <c r="AQ26" s="27">
        <f t="shared" si="60"/>
        <v>0.01505520440866205</v>
      </c>
      <c r="AR26" s="27">
        <f t="shared" si="42"/>
        <v>0.831047283358145</v>
      </c>
      <c r="AS26" s="27">
        <f t="shared" si="43"/>
        <v>1</v>
      </c>
      <c r="AT26" s="25">
        <f t="shared" si="44"/>
        <v>1.6268286001677448</v>
      </c>
      <c r="AU26" s="25">
        <f t="shared" si="13"/>
        <v>0.76460944207884</v>
      </c>
      <c r="AW26" s="25">
        <f t="shared" si="14"/>
        <v>0.6</v>
      </c>
      <c r="AX26" s="25">
        <f t="shared" si="45"/>
        <v>0.11041689770293021</v>
      </c>
      <c r="AY26" s="25">
        <f t="shared" si="46"/>
        <v>0.23990403585751383</v>
      </c>
      <c r="AZ26" s="25">
        <f t="shared" si="61"/>
        <v>0.6845140466745981</v>
      </c>
      <c r="BA26" s="25">
        <f t="shared" si="62"/>
        <v>0.075581917467888</v>
      </c>
      <c r="BB26" s="25">
        <f t="shared" si="15"/>
        <v>0.05779064774637078</v>
      </c>
      <c r="BC26" s="25">
        <f t="shared" si="16"/>
        <v>0.18343289100947566</v>
      </c>
      <c r="BD26" s="25">
        <f t="shared" si="17"/>
        <v>0.5233859033229935</v>
      </c>
      <c r="BG26" s="76">
        <f t="shared" si="47"/>
        <v>30317</v>
      </c>
      <c r="BH26" s="30">
        <f t="shared" si="18"/>
        <v>31</v>
      </c>
      <c r="BI26" s="27">
        <f>'PSP-1 Metdata'!D27</f>
        <v>9.250000238418579</v>
      </c>
      <c r="BJ26" s="28">
        <f>'PSP-1 Metdata'!E27</f>
        <v>15.600000381469727</v>
      </c>
      <c r="BK26" s="28">
        <f>'PSP-1 Metdata'!F27</f>
        <v>2.9000000953674316</v>
      </c>
      <c r="BL26" s="28">
        <f>'PSP-1 Metdata'!G27</f>
        <v>2.879999923706055</v>
      </c>
      <c r="BM26" s="28">
        <f>'PSP-1 Metdata'!I27</f>
        <v>8.533226013183594</v>
      </c>
      <c r="BN26" s="28">
        <f>'PSP-1 Metdata'!J27</f>
        <v>1</v>
      </c>
      <c r="BO26" s="28">
        <f>'PSP-1 Metdata'!K27</f>
        <v>12</v>
      </c>
      <c r="BP26" s="25">
        <f>'PSP-1 Metdata'!L27</f>
        <v>17.72180161999708</v>
      </c>
      <c r="BQ26" s="25">
        <f>'PSP-1 Metdata'!M27</f>
        <v>7.523714673488002</v>
      </c>
      <c r="BR26" s="25">
        <f>'PSP-1 Metdata'!N27</f>
        <v>5.0990434732545395</v>
      </c>
      <c r="BT26" s="25">
        <f t="shared" si="48"/>
        <v>34557.10261977032</v>
      </c>
      <c r="BU26" s="25">
        <f t="shared" si="19"/>
        <v>107.54494135863547</v>
      </c>
      <c r="BV26" s="25">
        <f t="shared" si="20"/>
        <v>0.2</v>
      </c>
      <c r="BW26" s="25">
        <f t="shared" si="21"/>
        <v>1872.515615831097</v>
      </c>
      <c r="BX26" s="25">
        <f t="shared" si="22"/>
        <v>0.012531267136021741</v>
      </c>
      <c r="BY26" s="25">
        <f t="shared" si="49"/>
        <v>19.1600779258061</v>
      </c>
      <c r="BZ26" s="25">
        <f t="shared" si="23"/>
        <v>110.0785964956539</v>
      </c>
      <c r="CA26" s="27">
        <f t="shared" si="24"/>
        <v>1.546340388349838</v>
      </c>
      <c r="CB26" s="139">
        <f t="shared" si="50"/>
        <v>47.93655203884497</v>
      </c>
      <c r="CD26" s="27">
        <f>IF(CJ25&lt;'DadosReais&amp;Graficos'!MinASW,'DadosReais&amp;Graficos'!MinASW,IF(CJ25&gt;'DadosReais&amp;Graficos'!MaxASW,'DadosReais&amp;Graficos'!MaxASW,CJ25))</f>
        <v>184.21844283765893</v>
      </c>
      <c r="CE26" s="25">
        <f t="shared" si="25"/>
        <v>0.4319999885559082</v>
      </c>
      <c r="CG26" s="27">
        <f t="shared" si="26"/>
        <v>187.098442761365</v>
      </c>
      <c r="CH26" s="27">
        <f t="shared" si="51"/>
        <v>48.36855202740088</v>
      </c>
      <c r="CI26" s="27">
        <f>MAX(CG26-CH26-'DadosReais&amp;Graficos'!MaxASW,0)</f>
        <v>0</v>
      </c>
      <c r="CJ26" s="27">
        <f t="shared" si="63"/>
        <v>138.7298907339641</v>
      </c>
      <c r="CK26" s="27">
        <f>poolFractn*Month!CI26</f>
        <v>0</v>
      </c>
      <c r="CQ26" s="25">
        <f>SIN(PI()*'DadosReais&amp;Graficos'!Lat/180)</f>
        <v>0.6293203910498374</v>
      </c>
      <c r="CR26" s="25">
        <f>COS(PI()*'DadosReais&amp;Graficos'!Lat/180)</f>
        <v>0.7771459614569709</v>
      </c>
      <c r="CS26" s="25">
        <f t="shared" si="65"/>
        <v>1982</v>
      </c>
      <c r="CT26" s="29">
        <f t="shared" si="66"/>
        <v>29952</v>
      </c>
      <c r="CU26" s="30">
        <f t="shared" si="52"/>
        <v>1</v>
      </c>
      <c r="CV26" s="27">
        <f t="shared" si="27"/>
        <v>16</v>
      </c>
      <c r="CW26" s="25">
        <f t="shared" si="67"/>
        <v>-0.3566279806934116</v>
      </c>
      <c r="CX26" s="25">
        <f t="shared" si="28"/>
        <v>0.30911718809788097</v>
      </c>
      <c r="CY26" s="25">
        <f t="shared" si="68"/>
        <v>0.39996646550660087</v>
      </c>
      <c r="CZ26" s="25">
        <f t="shared" si="69"/>
        <v>34557.10261977032</v>
      </c>
    </row>
    <row r="27" spans="1:104" ht="12.75">
      <c r="A27" s="149">
        <f t="shared" si="29"/>
        <v>30344</v>
      </c>
      <c r="B27" s="60">
        <f t="shared" si="71"/>
        <v>7.83</v>
      </c>
      <c r="C27" s="78">
        <f t="shared" si="53"/>
        <v>7.833333333333327</v>
      </c>
      <c r="D27" s="171">
        <f t="shared" si="30"/>
        <v>699930.8080187312</v>
      </c>
      <c r="E27" s="30">
        <f t="shared" si="70"/>
        <v>1111</v>
      </c>
      <c r="F27" s="27">
        <f t="shared" si="54"/>
        <v>6.691048409704265</v>
      </c>
      <c r="G27" s="27">
        <f t="shared" si="31"/>
        <v>19.823051378336107</v>
      </c>
      <c r="H27" s="27">
        <f t="shared" si="32"/>
        <v>71.78592991769335</v>
      </c>
      <c r="I27" s="27">
        <f t="shared" si="33"/>
        <v>78.47697832739762</v>
      </c>
      <c r="J27" s="27">
        <f t="shared" si="55"/>
        <v>98.30002970573372</v>
      </c>
      <c r="K27" s="27">
        <f t="shared" si="34"/>
        <v>4.007756261417487</v>
      </c>
      <c r="L27" s="27">
        <f t="shared" si="35"/>
        <v>2.681609115943979</v>
      </c>
      <c r="M27" s="27">
        <f t="shared" si="56"/>
        <v>1.8706851771472521</v>
      </c>
      <c r="O27" s="25">
        <f t="shared" si="36"/>
        <v>0.013</v>
      </c>
      <c r="P27" s="25">
        <f t="shared" si="37"/>
        <v>0.08698362932615544</v>
      </c>
      <c r="Q27" s="25">
        <f t="shared" si="1"/>
        <v>0.19823051378336107</v>
      </c>
      <c r="S27" s="27">
        <f t="shared" si="57"/>
        <v>64.61379830575459</v>
      </c>
      <c r="T27" s="27">
        <f t="shared" si="2"/>
        <v>13.564026120532928</v>
      </c>
      <c r="U27" s="27">
        <f t="shared" si="3"/>
        <v>0.18972986603847367</v>
      </c>
      <c r="V27" s="27">
        <f t="shared" si="4"/>
        <v>0.45</v>
      </c>
      <c r="W27" s="27">
        <f t="shared" si="5"/>
        <v>129.25776677991587</v>
      </c>
      <c r="X27" s="27">
        <f t="shared" si="6"/>
        <v>16.500991503819062</v>
      </c>
      <c r="Y27" s="27">
        <f t="shared" si="7"/>
        <v>16.053922983632255</v>
      </c>
      <c r="AA27" s="24">
        <f t="shared" si="8"/>
        <v>0.6091206839122701</v>
      </c>
      <c r="AB27" s="23">
        <f t="shared" si="9"/>
        <v>0.8348681765839997</v>
      </c>
      <c r="AC27" s="23">
        <f>IF('DadosReais&amp;Graficos'!soilClass&gt;0,0.8-0.1*'DadosReais&amp;Graficos'!soilClass,IF('DadosReais&amp;Graficos'!soilClass&lt;0,SWconst0,999))</f>
        <v>0.6000000000000001</v>
      </c>
      <c r="AD27" s="23">
        <f>IF('DadosReais&amp;Graficos'!soilClass&gt;0,11-2*'DadosReais&amp;Graficos'!soilClass,SWpower0)</f>
        <v>7</v>
      </c>
      <c r="AE27" s="24">
        <f>1/(1+((1-CD27/'DadosReais&amp;Graficos'!MaxASW)/AC27)^AD27)</f>
        <v>0.991034783961824</v>
      </c>
      <c r="AF27" s="24">
        <f t="shared" si="58"/>
        <v>0.6</v>
      </c>
      <c r="AG27" s="27">
        <f t="shared" si="10"/>
        <v>1</v>
      </c>
      <c r="AH27" s="27">
        <f t="shared" si="11"/>
        <v>0.8</v>
      </c>
      <c r="AI27" s="27">
        <f t="shared" si="38"/>
        <v>0.9992609209445925</v>
      </c>
      <c r="AJ27" s="24">
        <f t="shared" si="39"/>
        <v>0.8342511430006603</v>
      </c>
      <c r="AM27" s="27">
        <f t="shared" si="40"/>
        <v>255.15000534057617</v>
      </c>
      <c r="AN27" s="27">
        <f t="shared" si="12"/>
        <v>1</v>
      </c>
      <c r="AO27" s="27">
        <f t="shared" si="41"/>
        <v>0.7383649167143629</v>
      </c>
      <c r="AP27" s="27">
        <f t="shared" si="59"/>
        <v>188.39381244296376</v>
      </c>
      <c r="AQ27" s="27">
        <f t="shared" si="60"/>
        <v>0.022359023578282834</v>
      </c>
      <c r="AR27" s="27">
        <f t="shared" si="42"/>
        <v>1.2342181015212124</v>
      </c>
      <c r="AS27" s="27">
        <f t="shared" si="43"/>
        <v>1</v>
      </c>
      <c r="AT27" s="25">
        <f t="shared" si="44"/>
        <v>2.325190535316981</v>
      </c>
      <c r="AU27" s="25">
        <f t="shared" si="13"/>
        <v>1.092839551598981</v>
      </c>
      <c r="AW27" s="25">
        <f t="shared" si="14"/>
        <v>0.6</v>
      </c>
      <c r="AX27" s="25">
        <f t="shared" si="45"/>
        <v>0.11026089203326271</v>
      </c>
      <c r="AY27" s="25">
        <f t="shared" si="46"/>
        <v>0.23063245505741933</v>
      </c>
      <c r="AZ27" s="25">
        <f t="shared" si="61"/>
        <v>0.6929610422768372</v>
      </c>
      <c r="BA27" s="25">
        <f t="shared" si="62"/>
        <v>0.07640650266574345</v>
      </c>
      <c r="BB27" s="25">
        <f t="shared" si="15"/>
        <v>0.08350004811247742</v>
      </c>
      <c r="BC27" s="25">
        <f t="shared" si="16"/>
        <v>0.2520442687691223</v>
      </c>
      <c r="BD27" s="25">
        <f t="shared" si="17"/>
        <v>0.7572952347173814</v>
      </c>
      <c r="BG27" s="76">
        <f t="shared" si="47"/>
        <v>30348</v>
      </c>
      <c r="BH27" s="30">
        <f t="shared" si="18"/>
        <v>28</v>
      </c>
      <c r="BI27" s="27">
        <f>'PSP-1 Metdata'!D28</f>
        <v>9.399999856948853</v>
      </c>
      <c r="BJ27" s="28">
        <f>'PSP-1 Metdata'!E28</f>
        <v>13.899999618530273</v>
      </c>
      <c r="BK27" s="28">
        <f>'PSP-1 Metdata'!F28</f>
        <v>4.900000095367432</v>
      </c>
      <c r="BL27" s="28">
        <f>'PSP-1 Metdata'!G28</f>
        <v>36</v>
      </c>
      <c r="BM27" s="28">
        <f>'PSP-1 Metdata'!I28</f>
        <v>9.112500190734863</v>
      </c>
      <c r="BN27" s="28">
        <f>'PSP-1 Metdata'!J28</f>
        <v>10</v>
      </c>
      <c r="BO27" s="28">
        <f>'PSP-1 Metdata'!K28</f>
        <v>6</v>
      </c>
      <c r="BP27" s="25">
        <f>'PSP-1 Metdata'!L28</f>
        <v>15.881204192558155</v>
      </c>
      <c r="BQ27" s="25">
        <f>'PSP-1 Metdata'!M28</f>
        <v>8.66194663460116</v>
      </c>
      <c r="BR27" s="25">
        <f>'PSP-1 Metdata'!N28</f>
        <v>3.6096287789784975</v>
      </c>
      <c r="BT27" s="25">
        <f t="shared" si="48"/>
        <v>37850.90307676919</v>
      </c>
      <c r="BU27" s="25">
        <f t="shared" si="19"/>
        <v>102.59778657862708</v>
      </c>
      <c r="BV27" s="25">
        <f t="shared" si="20"/>
        <v>0.2</v>
      </c>
      <c r="BW27" s="25">
        <f t="shared" si="21"/>
        <v>1325.559644949739</v>
      </c>
      <c r="BX27" s="25">
        <f t="shared" si="22"/>
        <v>0.013436249069412943</v>
      </c>
      <c r="BY27" s="25">
        <f t="shared" si="49"/>
        <v>18.085106622151834</v>
      </c>
      <c r="BZ27" s="25">
        <f t="shared" si="23"/>
        <v>85.77636880075757</v>
      </c>
      <c r="CA27" s="27">
        <f t="shared" si="24"/>
        <v>1.3198020413636924</v>
      </c>
      <c r="CB27" s="139">
        <f t="shared" si="50"/>
        <v>36.95445715818339</v>
      </c>
      <c r="CD27" s="27">
        <f>IF(CJ26&lt;'DadosReais&amp;Graficos'!MinASW,'DadosReais&amp;Graficos'!MinASW,IF(CJ26&gt;'DadosReais&amp;Graficos'!MaxASW,'DadosReais&amp;Graficos'!MaxASW,CJ26))</f>
        <v>138.7298907339641</v>
      </c>
      <c r="CE27" s="25">
        <f t="shared" si="25"/>
        <v>5.3999999999999995</v>
      </c>
      <c r="CG27" s="27">
        <f t="shared" si="26"/>
        <v>174.7298907339641</v>
      </c>
      <c r="CH27" s="27">
        <f t="shared" si="51"/>
        <v>42.354457158183386</v>
      </c>
      <c r="CI27" s="27">
        <f>MAX(CG27-CH27-'DadosReais&amp;Graficos'!MaxASW,0)</f>
        <v>0</v>
      </c>
      <c r="CJ27" s="27">
        <f t="shared" si="63"/>
        <v>132.37543357578073</v>
      </c>
      <c r="CK27" s="27">
        <f>poolFractn*Month!CI27</f>
        <v>0</v>
      </c>
      <c r="CQ27" s="25">
        <f>SIN(PI()*'DadosReais&amp;Graficos'!Lat/180)</f>
        <v>0.6293203910498374</v>
      </c>
      <c r="CR27" s="25">
        <f>COS(PI()*'DadosReais&amp;Graficos'!Lat/180)</f>
        <v>0.7771459614569709</v>
      </c>
      <c r="CS27" s="25">
        <f t="shared" si="65"/>
        <v>1983</v>
      </c>
      <c r="CT27" s="29">
        <f t="shared" si="66"/>
        <v>30317</v>
      </c>
      <c r="CU27" s="30">
        <f t="shared" si="52"/>
        <v>2</v>
      </c>
      <c r="CV27" s="27">
        <f t="shared" si="27"/>
        <v>44</v>
      </c>
      <c r="CW27" s="25">
        <f t="shared" si="67"/>
        <v>-0.2321535487640738</v>
      </c>
      <c r="CX27" s="25">
        <f t="shared" si="28"/>
        <v>0.19327466507755395</v>
      </c>
      <c r="CY27" s="25">
        <f t="shared" si="68"/>
        <v>0.43808915598112486</v>
      </c>
      <c r="CZ27" s="25">
        <f t="shared" si="69"/>
        <v>37850.90307676919</v>
      </c>
    </row>
    <row r="28" spans="1:104" ht="12.75">
      <c r="A28" s="149">
        <f t="shared" si="29"/>
        <v>30375</v>
      </c>
      <c r="B28" s="60">
        <f t="shared" si="71"/>
        <v>7.92</v>
      </c>
      <c r="C28" s="78">
        <f t="shared" si="53"/>
        <v>7.91666666666666</v>
      </c>
      <c r="D28" s="171">
        <f t="shared" si="30"/>
        <v>691109.8845686886</v>
      </c>
      <c r="E28" s="30">
        <f t="shared" si="70"/>
        <v>1111</v>
      </c>
      <c r="F28" s="27">
        <f t="shared" si="54"/>
        <v>6.687564828490586</v>
      </c>
      <c r="G28" s="27">
        <f t="shared" si="31"/>
        <v>19.876865133321868</v>
      </c>
      <c r="H28" s="27">
        <f t="shared" si="32"/>
        <v>72.54322515241073</v>
      </c>
      <c r="I28" s="27">
        <f t="shared" si="33"/>
        <v>79.2307899809013</v>
      </c>
      <c r="J28" s="27">
        <f t="shared" si="55"/>
        <v>99.10765511422318</v>
      </c>
      <c r="K28" s="27">
        <f t="shared" si="34"/>
        <v>4.006705576771174</v>
      </c>
      <c r="L28" s="27">
        <f t="shared" si="35"/>
        <v>2.6795103293331994</v>
      </c>
      <c r="M28" s="27">
        <f t="shared" si="56"/>
        <v>1.9576688064734076</v>
      </c>
      <c r="O28" s="25">
        <f t="shared" si="36"/>
        <v>0.013</v>
      </c>
      <c r="P28" s="25">
        <f t="shared" si="37"/>
        <v>0.08693834277037762</v>
      </c>
      <c r="Q28" s="25">
        <f t="shared" si="1"/>
        <v>0.1987686513332187</v>
      </c>
      <c r="S28" s="27">
        <f t="shared" si="57"/>
        <v>65.29543218038769</v>
      </c>
      <c r="T28" s="27">
        <f t="shared" si="2"/>
        <v>13.616726796917323</v>
      </c>
      <c r="U28" s="27">
        <f t="shared" si="3"/>
        <v>0.18859883387413104</v>
      </c>
      <c r="V28" s="27">
        <f t="shared" si="4"/>
        <v>0.45</v>
      </c>
      <c r="W28" s="27">
        <f t="shared" si="5"/>
        <v>130.80368329599452</v>
      </c>
      <c r="X28" s="27">
        <f t="shared" si="6"/>
        <v>16.52257052159932</v>
      </c>
      <c r="Y28" s="27">
        <f t="shared" si="7"/>
        <v>16.178914809483352</v>
      </c>
      <c r="AA28" s="24">
        <f t="shared" si="8"/>
        <v>0.9450475686848301</v>
      </c>
      <c r="AB28" s="23">
        <f t="shared" si="9"/>
        <v>0.7508532724480615</v>
      </c>
      <c r="AC28" s="23">
        <f>IF('DadosReais&amp;Graficos'!soilClass&gt;0,0.8-0.1*'DadosReais&amp;Graficos'!soilClass,IF('DadosReais&amp;Graficos'!soilClass&lt;0,SWconst0,999))</f>
        <v>0.6000000000000001</v>
      </c>
      <c r="AD28" s="23">
        <f>IF('DadosReais&amp;Graficos'!soilClass&gt;0,11-2*'DadosReais&amp;Graficos'!soilClass,SWpower0)</f>
        <v>7</v>
      </c>
      <c r="AE28" s="24">
        <f>1/(1+((1-CD28/'DadosReais&amp;Graficos'!MaxASW)/AC28)^AD28)</f>
        <v>0.9822706064060278</v>
      </c>
      <c r="AF28" s="24">
        <f t="shared" si="58"/>
        <v>0.6</v>
      </c>
      <c r="AG28" s="27">
        <f t="shared" si="10"/>
        <v>1</v>
      </c>
      <c r="AH28" s="27">
        <f t="shared" si="11"/>
        <v>1</v>
      </c>
      <c r="AI28" s="27">
        <f t="shared" si="38"/>
        <v>0.9992289899768697</v>
      </c>
      <c r="AJ28" s="24">
        <f t="shared" si="39"/>
        <v>0.750274357049104</v>
      </c>
      <c r="AM28" s="27">
        <f t="shared" si="40"/>
        <v>504.28002166748047</v>
      </c>
      <c r="AN28" s="27">
        <f t="shared" si="12"/>
        <v>1</v>
      </c>
      <c r="AO28" s="27">
        <f t="shared" si="41"/>
        <v>0.7380902144993842</v>
      </c>
      <c r="AP28" s="27">
        <f t="shared" si="59"/>
        <v>372.20414936030477</v>
      </c>
      <c r="AQ28" s="27">
        <f t="shared" si="60"/>
        <v>0.038997472633670635</v>
      </c>
      <c r="AR28" s="27">
        <f t="shared" si="42"/>
        <v>2.152660489378619</v>
      </c>
      <c r="AS28" s="27">
        <f t="shared" si="43"/>
        <v>1</v>
      </c>
      <c r="AT28" s="25">
        <f t="shared" si="44"/>
        <v>8.012291663107062</v>
      </c>
      <c r="AU28" s="25">
        <f t="shared" si="13"/>
        <v>3.765777081660319</v>
      </c>
      <c r="AW28" s="25">
        <f t="shared" si="14"/>
        <v>0.6</v>
      </c>
      <c r="AX28" s="25">
        <f t="shared" si="45"/>
        <v>0.11003755151526334</v>
      </c>
      <c r="AY28" s="25">
        <f t="shared" si="46"/>
        <v>0.24385674861212944</v>
      </c>
      <c r="AZ28" s="25">
        <f t="shared" si="61"/>
        <v>0.6811870916940537</v>
      </c>
      <c r="BA28" s="25">
        <f t="shared" si="62"/>
        <v>0.07495615969381686</v>
      </c>
      <c r="BB28" s="25">
        <f t="shared" si="15"/>
        <v>0.2822681883042465</v>
      </c>
      <c r="BC28" s="25">
        <f t="shared" si="16"/>
        <v>0.9183101551317588</v>
      </c>
      <c r="BD28" s="25">
        <f t="shared" si="17"/>
        <v>2.5651987382243133</v>
      </c>
      <c r="BG28" s="76">
        <f t="shared" si="47"/>
        <v>30376</v>
      </c>
      <c r="BH28" s="30">
        <f t="shared" si="18"/>
        <v>31</v>
      </c>
      <c r="BI28" s="27">
        <f>'PSP-1 Metdata'!D29</f>
        <v>13.349999904632568</v>
      </c>
      <c r="BJ28" s="28">
        <f>'PSP-1 Metdata'!E29</f>
        <v>19</v>
      </c>
      <c r="BK28" s="28">
        <f>'PSP-1 Metdata'!F29</f>
        <v>7.699999809265137</v>
      </c>
      <c r="BL28" s="28">
        <f>'PSP-1 Metdata'!G29</f>
        <v>5.3599998474121096</v>
      </c>
      <c r="BM28" s="28">
        <f>'PSP-1 Metdata'!I29</f>
        <v>16.26709747314453</v>
      </c>
      <c r="BN28" s="28">
        <f>'PSP-1 Metdata'!J29</f>
        <v>2</v>
      </c>
      <c r="BO28" s="28">
        <f>'PSP-1 Metdata'!K29</f>
        <v>0</v>
      </c>
      <c r="BP28" s="25">
        <f>'PSP-1 Metdata'!L29</f>
        <v>21.971584870456653</v>
      </c>
      <c r="BQ28" s="25">
        <f>'PSP-1 Metdata'!M29</f>
        <v>10.509783968828762</v>
      </c>
      <c r="BR28" s="25">
        <f>'PSP-1 Metdata'!N29</f>
        <v>5.730900450813945</v>
      </c>
      <c r="BT28" s="25">
        <f t="shared" si="48"/>
        <v>42434.28237611158</v>
      </c>
      <c r="BU28" s="25">
        <f t="shared" si="19"/>
        <v>216.67840363530428</v>
      </c>
      <c r="BV28" s="25">
        <f t="shared" si="20"/>
        <v>0.2</v>
      </c>
      <c r="BW28" s="25">
        <f t="shared" si="21"/>
        <v>2104.551695471864</v>
      </c>
      <c r="BX28" s="25">
        <f t="shared" si="22"/>
        <v>0.012074281618900293</v>
      </c>
      <c r="BY28" s="25">
        <f t="shared" si="49"/>
        <v>19.764132452147965</v>
      </c>
      <c r="BZ28" s="25">
        <f t="shared" si="23"/>
        <v>130.60245319237396</v>
      </c>
      <c r="CA28" s="27">
        <f t="shared" si="24"/>
        <v>2.2528542186089804</v>
      </c>
      <c r="CB28" s="139">
        <f t="shared" si="50"/>
        <v>69.8384807768784</v>
      </c>
      <c r="CD28" s="27">
        <f>IF(CJ27&lt;'DadosReais&amp;Graficos'!MinASW,'DadosReais&amp;Graficos'!MinASW,IF(CJ27&gt;'DadosReais&amp;Graficos'!MaxASW,'DadosReais&amp;Graficos'!MaxASW,CJ27))</f>
        <v>132.37543357578073</v>
      </c>
      <c r="CE28" s="25">
        <f t="shared" si="25"/>
        <v>0.8039999771118164</v>
      </c>
      <c r="CG28" s="27">
        <f t="shared" si="26"/>
        <v>137.73543342319283</v>
      </c>
      <c r="CH28" s="27">
        <f t="shared" si="51"/>
        <v>70.64248075399021</v>
      </c>
      <c r="CI28" s="27">
        <f>MAX(CG28-CH28-'DadosReais&amp;Graficos'!MaxASW,0)</f>
        <v>0</v>
      </c>
      <c r="CJ28" s="27">
        <f t="shared" si="63"/>
        <v>67.09295266920262</v>
      </c>
      <c r="CK28" s="27">
        <f>poolFractn*Month!CI28</f>
        <v>0</v>
      </c>
      <c r="CQ28" s="25">
        <f>SIN(PI()*'DadosReais&amp;Graficos'!Lat/180)</f>
        <v>0.6293203910498374</v>
      </c>
      <c r="CR28" s="25">
        <f>COS(PI()*'DadosReais&amp;Graficos'!Lat/180)</f>
        <v>0.7771459614569709</v>
      </c>
      <c r="CS28" s="25">
        <f t="shared" si="65"/>
        <v>1983</v>
      </c>
      <c r="CT28" s="29">
        <f t="shared" si="66"/>
        <v>30317</v>
      </c>
      <c r="CU28" s="30">
        <f t="shared" si="52"/>
        <v>3</v>
      </c>
      <c r="CV28" s="27">
        <f t="shared" si="27"/>
        <v>75</v>
      </c>
      <c r="CW28" s="25">
        <f t="shared" si="67"/>
        <v>-0.03435761194480621</v>
      </c>
      <c r="CX28" s="25">
        <f t="shared" si="28"/>
        <v>0.027838681446559606</v>
      </c>
      <c r="CY28" s="25">
        <f t="shared" si="68"/>
        <v>0.49113752750129147</v>
      </c>
      <c r="CZ28" s="25">
        <f t="shared" si="69"/>
        <v>42434.28237611158</v>
      </c>
    </row>
    <row r="29" spans="1:104" ht="12.75">
      <c r="A29" s="149">
        <f t="shared" si="29"/>
        <v>30403</v>
      </c>
      <c r="B29" s="60">
        <f t="shared" si="71"/>
        <v>8</v>
      </c>
      <c r="C29" s="78">
        <f t="shared" si="53"/>
        <v>7.999999999999993</v>
      </c>
      <c r="D29" s="171">
        <f t="shared" si="30"/>
        <v>655111.7608262957</v>
      </c>
      <c r="E29" s="30">
        <f t="shared" si="70"/>
        <v>1111</v>
      </c>
      <c r="F29" s="27">
        <f t="shared" si="54"/>
        <v>6.882894674024455</v>
      </c>
      <c r="G29" s="27">
        <f t="shared" si="31"/>
        <v>20.59640663712041</v>
      </c>
      <c r="H29" s="27">
        <f t="shared" si="32"/>
        <v>75.10842389063504</v>
      </c>
      <c r="I29" s="27">
        <f t="shared" si="33"/>
        <v>81.9913185646595</v>
      </c>
      <c r="J29" s="27">
        <f t="shared" si="55"/>
        <v>102.5877252017799</v>
      </c>
      <c r="K29" s="27">
        <f t="shared" si="34"/>
        <v>4.005788298033728</v>
      </c>
      <c r="L29" s="27">
        <f t="shared" si="35"/>
        <v>2.7571418941805836</v>
      </c>
      <c r="M29" s="27">
        <f t="shared" si="56"/>
        <v>2.0446071492437854</v>
      </c>
      <c r="O29" s="25">
        <f t="shared" si="36"/>
        <v>0.013</v>
      </c>
      <c r="P29" s="25">
        <f t="shared" si="37"/>
        <v>0.08947763076231792</v>
      </c>
      <c r="Q29" s="25">
        <f t="shared" si="1"/>
        <v>0.2059640663712041</v>
      </c>
      <c r="S29" s="27">
        <f t="shared" si="57"/>
        <v>67.60434193576512</v>
      </c>
      <c r="T29" s="27">
        <f t="shared" si="2"/>
        <v>13.792705698562777</v>
      </c>
      <c r="U29" s="27">
        <f t="shared" si="3"/>
        <v>0.18750000000000008</v>
      </c>
      <c r="V29" s="27">
        <f t="shared" si="4"/>
        <v>0.45</v>
      </c>
      <c r="W29" s="27">
        <f t="shared" si="5"/>
        <v>135.61243202475768</v>
      </c>
      <c r="X29" s="27">
        <f t="shared" si="6"/>
        <v>16.951554003094724</v>
      </c>
      <c r="Y29" s="27">
        <f t="shared" si="7"/>
        <v>16.599800912969915</v>
      </c>
      <c r="AA29" s="24">
        <f t="shared" si="8"/>
        <v>0.9070647785476893</v>
      </c>
      <c r="AB29" s="23">
        <f t="shared" si="9"/>
        <v>0.7927437094601198</v>
      </c>
      <c r="AC29" s="23">
        <f>IF('DadosReais&amp;Graficos'!soilClass&gt;0,0.8-0.1*'DadosReais&amp;Graficos'!soilClass,IF('DadosReais&amp;Graficos'!soilClass&lt;0,SWconst0,999))</f>
        <v>0.6000000000000001</v>
      </c>
      <c r="AD29" s="23">
        <f>IF('DadosReais&amp;Graficos'!soilClass&gt;0,11-2*'DadosReais&amp;Graficos'!soilClass,SWpower0)</f>
        <v>7</v>
      </c>
      <c r="AE29" s="24">
        <f>1/(1+((1-CD29/'DadosReais&amp;Graficos'!MaxASW)/AC29)^AD29)</f>
        <v>0.3284711998439027</v>
      </c>
      <c r="AF29" s="24">
        <f t="shared" si="58"/>
        <v>0.6</v>
      </c>
      <c r="AG29" s="27">
        <f t="shared" si="10"/>
        <v>1</v>
      </c>
      <c r="AH29" s="27">
        <f t="shared" si="11"/>
        <v>0.9666666666666667</v>
      </c>
      <c r="AI29" s="27">
        <f t="shared" si="38"/>
        <v>0.9991960367220926</v>
      </c>
      <c r="AJ29" s="24">
        <f t="shared" si="39"/>
        <v>0.328207121061378</v>
      </c>
      <c r="AM29" s="27">
        <f t="shared" si="40"/>
        <v>514.419994354248</v>
      </c>
      <c r="AN29" s="27">
        <f t="shared" si="12"/>
        <v>1</v>
      </c>
      <c r="AO29" s="27">
        <f>(1-(EXP(-k*L29)))</f>
        <v>0.74806167086868</v>
      </c>
      <c r="AP29" s="27">
        <f>AM29*AO29*AN29</f>
        <v>384.81788050489575</v>
      </c>
      <c r="AQ29" s="27">
        <f t="shared" si="60"/>
        <v>0.015827988857846167</v>
      </c>
      <c r="AR29" s="27">
        <f>gDM_mol*molPAR_MJ*AQ29</f>
        <v>0.8737049849531083</v>
      </c>
      <c r="AS29" s="27">
        <f t="shared" si="43"/>
        <v>1</v>
      </c>
      <c r="AT29" s="25">
        <f>AR29*AP29/100*AS29</f>
        <v>3.3621730049621696</v>
      </c>
      <c r="AU29" s="25">
        <f t="shared" si="13"/>
        <v>1.5802213123322197</v>
      </c>
      <c r="AW29" s="25">
        <f t="shared" si="14"/>
        <v>0.6</v>
      </c>
      <c r="AX29" s="25">
        <f t="shared" si="45"/>
        <v>0.10930120664834483</v>
      </c>
      <c r="AY29" s="25">
        <f t="shared" si="46"/>
        <v>0.34258543083794757</v>
      </c>
      <c r="AZ29" s="25">
        <f t="shared" si="61"/>
        <v>0.5926384693552911</v>
      </c>
      <c r="BA29" s="25">
        <f t="shared" si="62"/>
        <v>0.06477609980676136</v>
      </c>
      <c r="BB29" s="25">
        <f t="shared" si="15"/>
        <v>0.10236057344440327</v>
      </c>
      <c r="BC29" s="25">
        <f t="shared" si="16"/>
        <v>0.5413607991046404</v>
      </c>
      <c r="BD29" s="25">
        <f t="shared" si="17"/>
        <v>0.936499939783176</v>
      </c>
      <c r="BG29" s="76">
        <f t="shared" si="47"/>
        <v>30407</v>
      </c>
      <c r="BH29" s="30">
        <f t="shared" si="18"/>
        <v>30</v>
      </c>
      <c r="BI29" s="27">
        <f>'PSP-1 Metdata'!D30</f>
        <v>12.599999904632568</v>
      </c>
      <c r="BJ29" s="28">
        <f>'PSP-1 Metdata'!E30</f>
        <v>17.399999618530273</v>
      </c>
      <c r="BK29" s="28">
        <f>'PSP-1 Metdata'!F30</f>
        <v>7.800000190734863</v>
      </c>
      <c r="BL29" s="28">
        <f>'PSP-1 Metdata'!G30</f>
        <v>95.6</v>
      </c>
      <c r="BM29" s="28">
        <f>'PSP-1 Metdata'!I30</f>
        <v>17.1473331451416</v>
      </c>
      <c r="BN29" s="28">
        <f>'PSP-1 Metdata'!J30</f>
        <v>15</v>
      </c>
      <c r="BO29" s="28">
        <f>'PSP-1 Metdata'!K30</f>
        <v>1</v>
      </c>
      <c r="BP29" s="25">
        <f>'PSP-1 Metdata'!L30</f>
        <v>19.871963045186586</v>
      </c>
      <c r="BQ29" s="25">
        <f>'PSP-1 Metdata'!M30</f>
        <v>10.581751017917167</v>
      </c>
      <c r="BR29" s="25">
        <f>'PSP-1 Metdata'!N30</f>
        <v>4.6451060136347095</v>
      </c>
      <c r="BT29" s="25">
        <f t="shared" si="48"/>
        <v>46978.19870062779</v>
      </c>
      <c r="BU29" s="25">
        <f t="shared" si="19"/>
        <v>202.00494900903817</v>
      </c>
      <c r="BV29" s="25">
        <f t="shared" si="20"/>
        <v>0.2</v>
      </c>
      <c r="BW29" s="25">
        <f t="shared" si="21"/>
        <v>1705.8167072598583</v>
      </c>
      <c r="BX29" s="25">
        <f t="shared" si="22"/>
        <v>0.00543491653721756</v>
      </c>
      <c r="BY29" s="25">
        <f t="shared" si="49"/>
        <v>39.99909316553945</v>
      </c>
      <c r="BZ29" s="25">
        <f t="shared" si="23"/>
        <v>53.756908592423656</v>
      </c>
      <c r="CA29" s="27">
        <f t="shared" si="24"/>
        <v>1.0265864769863269</v>
      </c>
      <c r="CB29" s="139">
        <f t="shared" si="50"/>
        <v>30.797594309589805</v>
      </c>
      <c r="CD29" s="27">
        <f>IF(CJ28&lt;'DadosReais&amp;Graficos'!MinASW,'DadosReais&amp;Graficos'!MinASW,IF(CJ28&gt;'DadosReais&amp;Graficos'!MaxASW,'DadosReais&amp;Graficos'!MaxASW,CJ28))</f>
        <v>67.09295266920262</v>
      </c>
      <c r="CE29" s="25">
        <f t="shared" si="25"/>
        <v>14.339999999999998</v>
      </c>
      <c r="CG29" s="27">
        <f t="shared" si="26"/>
        <v>162.6929526692026</v>
      </c>
      <c r="CH29" s="27">
        <f t="shared" si="51"/>
        <v>45.1375943095898</v>
      </c>
      <c r="CI29" s="27">
        <f>MAX(CG29-CH29-'DadosReais&amp;Graficos'!MaxASW,0)</f>
        <v>0</v>
      </c>
      <c r="CJ29" s="27">
        <f t="shared" si="63"/>
        <v>117.55535835961281</v>
      </c>
      <c r="CK29" s="27">
        <f>poolFractn*Month!CI29</f>
        <v>0</v>
      </c>
      <c r="CQ29" s="25">
        <f>SIN(PI()*'DadosReais&amp;Graficos'!Lat/180)</f>
        <v>0.6293203910498374</v>
      </c>
      <c r="CR29" s="25">
        <f>COS(PI()*'DadosReais&amp;Graficos'!Lat/180)</f>
        <v>0.7771459614569709</v>
      </c>
      <c r="CS29" s="25">
        <f t="shared" si="65"/>
        <v>1983</v>
      </c>
      <c r="CT29" s="29">
        <f t="shared" si="66"/>
        <v>30317</v>
      </c>
      <c r="CU29" s="30">
        <f t="shared" si="52"/>
        <v>4</v>
      </c>
      <c r="CV29" s="27">
        <f t="shared" si="27"/>
        <v>105</v>
      </c>
      <c r="CW29" s="25">
        <f t="shared" si="67"/>
        <v>0.16674832097168432</v>
      </c>
      <c r="CX29" s="25">
        <f t="shared" si="28"/>
        <v>-0.13694746197546548</v>
      </c>
      <c r="CY29" s="25">
        <f t="shared" si="68"/>
        <v>0.5437291516276365</v>
      </c>
      <c r="CZ29" s="25">
        <f t="shared" si="69"/>
        <v>46978.19870062779</v>
      </c>
    </row>
    <row r="30" spans="1:104" ht="12.75">
      <c r="A30" s="149">
        <f t="shared" si="29"/>
        <v>30434</v>
      </c>
      <c r="B30" s="60">
        <f t="shared" si="71"/>
        <v>8.08</v>
      </c>
      <c r="C30" s="78">
        <f t="shared" si="53"/>
        <v>8.083333333333327</v>
      </c>
      <c r="D30" s="171">
        <f t="shared" si="30"/>
        <v>642594.9805920209</v>
      </c>
      <c r="E30" s="30">
        <f t="shared" si="70"/>
        <v>1111</v>
      </c>
      <c r="F30" s="27">
        <f t="shared" si="54"/>
        <v>6.895777616706541</v>
      </c>
      <c r="G30" s="27">
        <f t="shared" si="31"/>
        <v>20.931803369853846</v>
      </c>
      <c r="H30" s="27">
        <f t="shared" si="32"/>
        <v>76.04492383041821</v>
      </c>
      <c r="I30" s="27">
        <f t="shared" si="33"/>
        <v>82.94070144712475</v>
      </c>
      <c r="J30" s="27">
        <f t="shared" si="55"/>
        <v>103.87250481697859</v>
      </c>
      <c r="K30" s="27">
        <f t="shared" si="34"/>
        <v>4.004988806670872</v>
      </c>
      <c r="L30" s="27">
        <f t="shared" si="35"/>
        <v>2.7617512168201244</v>
      </c>
      <c r="M30" s="27">
        <f t="shared" si="56"/>
        <v>2.1340847800061034</v>
      </c>
      <c r="O30" s="25">
        <f t="shared" si="36"/>
        <v>0.013</v>
      </c>
      <c r="P30" s="25">
        <f t="shared" si="37"/>
        <v>0.08964510901718503</v>
      </c>
      <c r="Q30" s="25">
        <f t="shared" si="1"/>
        <v>0.20931803369853846</v>
      </c>
      <c r="S30" s="27">
        <f t="shared" si="57"/>
        <v>68.4472761749939</v>
      </c>
      <c r="T30" s="27">
        <f t="shared" si="2"/>
        <v>13.856006586396399</v>
      </c>
      <c r="U30" s="27">
        <f t="shared" si="3"/>
        <v>0.1864324477932603</v>
      </c>
      <c r="V30" s="27">
        <f t="shared" si="4"/>
        <v>0.45</v>
      </c>
      <c r="W30" s="27">
        <f t="shared" si="5"/>
        <v>137.4837389743585</v>
      </c>
      <c r="X30" s="27">
        <f t="shared" si="6"/>
        <v>17.008297605075292</v>
      </c>
      <c r="Y30" s="27">
        <f t="shared" si="7"/>
        <v>16.752518358405073</v>
      </c>
      <c r="AA30" s="24">
        <f t="shared" si="8"/>
        <v>0.964483342699709</v>
      </c>
      <c r="AB30" s="23">
        <f t="shared" si="9"/>
        <v>0.7938080852260898</v>
      </c>
      <c r="AC30" s="23">
        <f>IF('DadosReais&amp;Graficos'!soilClass&gt;0,0.8-0.1*'DadosReais&amp;Graficos'!soilClass,IF('DadosReais&amp;Graficos'!soilClass&lt;0,SWconst0,999))</f>
        <v>0.6000000000000001</v>
      </c>
      <c r="AD30" s="23">
        <f>IF('DadosReais&amp;Graficos'!soilClass&gt;0,11-2*'DadosReais&amp;Graficos'!soilClass,SWpower0)</f>
        <v>7</v>
      </c>
      <c r="AE30" s="24">
        <f>1/(1+((1-CD30/'DadosReais&amp;Graficos'!MaxASW)/AC30)^AD30)</f>
        <v>0.9326139170932097</v>
      </c>
      <c r="AF30" s="24">
        <f t="shared" si="58"/>
        <v>0.6</v>
      </c>
      <c r="AG30" s="27">
        <f t="shared" si="10"/>
        <v>1</v>
      </c>
      <c r="AH30" s="27">
        <f t="shared" si="11"/>
        <v>1</v>
      </c>
      <c r="AI30" s="27">
        <f t="shared" si="38"/>
        <v>0.9991620397063461</v>
      </c>
      <c r="AJ30" s="24">
        <f t="shared" si="39"/>
        <v>0.7931429055698889</v>
      </c>
      <c r="AM30" s="27">
        <f t="shared" si="40"/>
        <v>709.6400032043457</v>
      </c>
      <c r="AN30" s="27">
        <f t="shared" si="12"/>
        <v>1</v>
      </c>
      <c r="AO30" s="27">
        <f t="shared" si="41"/>
        <v>0.7486416348238445</v>
      </c>
      <c r="AP30" s="27">
        <f t="shared" si="59"/>
        <v>531.2660521352996</v>
      </c>
      <c r="AQ30" s="27">
        <f t="shared" si="60"/>
        <v>0.04207352164414334</v>
      </c>
      <c r="AR30" s="27">
        <f t="shared" si="42"/>
        <v>2.322458394756712</v>
      </c>
      <c r="AS30" s="27">
        <f t="shared" si="43"/>
        <v>1</v>
      </c>
      <c r="AT30" s="25">
        <f t="shared" si="44"/>
        <v>12.338433026308834</v>
      </c>
      <c r="AU30" s="25">
        <f t="shared" si="13"/>
        <v>5.799063522365151</v>
      </c>
      <c r="AW30" s="25">
        <f t="shared" si="14"/>
        <v>0.6</v>
      </c>
      <c r="AX30" s="25">
        <f t="shared" si="45"/>
        <v>0.10903982698531013</v>
      </c>
      <c r="AY30" s="25">
        <f t="shared" si="46"/>
        <v>0.23692190292703078</v>
      </c>
      <c r="AZ30" s="25">
        <f t="shared" si="61"/>
        <v>0.6880529251571023</v>
      </c>
      <c r="BA30" s="25">
        <f t="shared" si="62"/>
        <v>0.075025171915867</v>
      </c>
      <c r="BB30" s="25">
        <f t="shared" si="15"/>
        <v>0.43507573771647867</v>
      </c>
      <c r="BC30" s="25">
        <f t="shared" si="16"/>
        <v>1.3739251649134816</v>
      </c>
      <c r="BD30" s="25">
        <f t="shared" si="17"/>
        <v>3.990062619735191</v>
      </c>
      <c r="BG30" s="76">
        <f t="shared" si="47"/>
        <v>30437</v>
      </c>
      <c r="BH30" s="30">
        <f t="shared" si="18"/>
        <v>31</v>
      </c>
      <c r="BI30" s="27">
        <f>'PSP-1 Metdata'!D31</f>
        <v>13.84999942779541</v>
      </c>
      <c r="BJ30" s="28">
        <f>'PSP-1 Metdata'!E31</f>
        <v>18.299999237060547</v>
      </c>
      <c r="BK30" s="28">
        <f>'PSP-1 Metdata'!F31</f>
        <v>9.399999618530273</v>
      </c>
      <c r="BL30" s="28">
        <f>'PSP-1 Metdata'!G31</f>
        <v>74.64000244140625</v>
      </c>
      <c r="BM30" s="28">
        <f>'PSP-1 Metdata'!I31</f>
        <v>22.891613006591797</v>
      </c>
      <c r="BN30" s="28">
        <f>'PSP-1 Metdata'!J31</f>
        <v>13</v>
      </c>
      <c r="BO30" s="28">
        <f>'PSP-1 Metdata'!K31</f>
        <v>0</v>
      </c>
      <c r="BP30" s="25">
        <f>'PSP-1 Metdata'!L31</f>
        <v>21.03025541539633</v>
      </c>
      <c r="BQ30" s="25">
        <f>'PSP-1 Metdata'!M31</f>
        <v>11.79371328679478</v>
      </c>
      <c r="BR30" s="25">
        <f>'PSP-1 Metdata'!N31</f>
        <v>4.6182710643007745</v>
      </c>
      <c r="BT30" s="25">
        <f t="shared" si="48"/>
        <v>51049.507507765746</v>
      </c>
      <c r="BU30" s="25">
        <f t="shared" si="19"/>
        <v>268.73588795127137</v>
      </c>
      <c r="BV30" s="25">
        <f t="shared" si="20"/>
        <v>0.2</v>
      </c>
      <c r="BW30" s="25">
        <f t="shared" si="21"/>
        <v>1695.9621410178963</v>
      </c>
      <c r="BX30" s="25">
        <f t="shared" si="22"/>
        <v>0.013155936243663</v>
      </c>
      <c r="BY30" s="25">
        <f t="shared" si="49"/>
        <v>18.402262788126293</v>
      </c>
      <c r="BZ30" s="25">
        <f t="shared" si="23"/>
        <v>124.28803570756816</v>
      </c>
      <c r="CA30" s="27">
        <f t="shared" si="24"/>
        <v>2.5792044764142106</v>
      </c>
      <c r="CB30" s="139">
        <f t="shared" si="50"/>
        <v>79.95533876884053</v>
      </c>
      <c r="CD30" s="27">
        <f>IF(CJ29&lt;'DadosReais&amp;Graficos'!MinASW,'DadosReais&amp;Graficos'!MinASW,IF(CJ29&gt;'DadosReais&amp;Graficos'!MaxASW,'DadosReais&amp;Graficos'!MaxASW,CJ29))</f>
        <v>117.55535835961281</v>
      </c>
      <c r="CE30" s="25">
        <f t="shared" si="25"/>
        <v>11.196000366210937</v>
      </c>
      <c r="CG30" s="27">
        <f t="shared" si="26"/>
        <v>192.19536080101906</v>
      </c>
      <c r="CH30" s="27">
        <f t="shared" si="51"/>
        <v>91.15133913505147</v>
      </c>
      <c r="CI30" s="27">
        <f>MAX(CG30-CH30-'DadosReais&amp;Graficos'!MaxASW,0)</f>
        <v>0</v>
      </c>
      <c r="CJ30" s="27">
        <f t="shared" si="63"/>
        <v>101.04402166596759</v>
      </c>
      <c r="CK30" s="27">
        <f>poolFractn*Month!CI30</f>
        <v>0</v>
      </c>
      <c r="CQ30" s="25">
        <f>SIN(PI()*'DadosReais&amp;Graficos'!Lat/180)</f>
        <v>0.6293203910498374</v>
      </c>
      <c r="CR30" s="25">
        <f>COS(PI()*'DadosReais&amp;Graficos'!Lat/180)</f>
        <v>0.7771459614569709</v>
      </c>
      <c r="CS30" s="25">
        <f t="shared" si="65"/>
        <v>1983</v>
      </c>
      <c r="CT30" s="29">
        <f t="shared" si="66"/>
        <v>30317</v>
      </c>
      <c r="CU30" s="30">
        <f t="shared" si="52"/>
        <v>5</v>
      </c>
      <c r="CV30" s="27">
        <f t="shared" si="27"/>
        <v>136</v>
      </c>
      <c r="CW30" s="25">
        <f t="shared" si="67"/>
        <v>0.328409053946799</v>
      </c>
      <c r="CX30" s="25">
        <f t="shared" si="28"/>
        <v>-0.2815567874772962</v>
      </c>
      <c r="CY30" s="25">
        <f t="shared" si="68"/>
        <v>0.5908507813398813</v>
      </c>
      <c r="CZ30" s="25">
        <f t="shared" si="69"/>
        <v>51049.507507765746</v>
      </c>
    </row>
    <row r="31" spans="1:104" ht="12.75">
      <c r="A31" s="149">
        <f t="shared" si="29"/>
        <v>30464</v>
      </c>
      <c r="B31" s="60">
        <f t="shared" si="71"/>
        <v>8.17</v>
      </c>
      <c r="C31" s="78">
        <f t="shared" si="53"/>
        <v>8.16666666666666</v>
      </c>
      <c r="D31" s="171">
        <f t="shared" si="30"/>
        <v>593205.2727418013</v>
      </c>
      <c r="E31" s="30">
        <f t="shared" si="70"/>
        <v>1111</v>
      </c>
      <c r="F31" s="27">
        <f t="shared" si="54"/>
        <v>7.241208245405835</v>
      </c>
      <c r="G31" s="27">
        <f t="shared" si="31"/>
        <v>22.09641050106879</v>
      </c>
      <c r="H31" s="27">
        <f t="shared" si="32"/>
        <v>80.03498645015341</v>
      </c>
      <c r="I31" s="27">
        <f t="shared" si="33"/>
        <v>87.27619469555924</v>
      </c>
      <c r="J31" s="27">
        <f t="shared" si="55"/>
        <v>109.37260519662803</v>
      </c>
      <c r="K31" s="27">
        <f t="shared" si="34"/>
        <v>4.004293124750753</v>
      </c>
      <c r="L31" s="27">
        <f t="shared" si="35"/>
        <v>2.899592039196705</v>
      </c>
      <c r="M31" s="27">
        <f t="shared" si="56"/>
        <v>2.2237298890232884</v>
      </c>
      <c r="O31" s="25">
        <f t="shared" si="36"/>
        <v>0.013</v>
      </c>
      <c r="P31" s="25">
        <f t="shared" si="37"/>
        <v>0.09413570719027585</v>
      </c>
      <c r="Q31" s="25">
        <f t="shared" si="1"/>
        <v>0.2209641050106879</v>
      </c>
      <c r="S31" s="27">
        <f t="shared" si="57"/>
        <v>72.0386916743055</v>
      </c>
      <c r="T31" s="27">
        <f t="shared" si="2"/>
        <v>14.120335982340254</v>
      </c>
      <c r="U31" s="27">
        <f t="shared" si="3"/>
        <v>0.18539528672556357</v>
      </c>
      <c r="V31" s="27">
        <f t="shared" si="4"/>
        <v>0.45</v>
      </c>
      <c r="W31" s="27">
        <f t="shared" si="5"/>
        <v>144.88194930922361</v>
      </c>
      <c r="X31" s="27">
        <f t="shared" si="6"/>
        <v>17.74064685419066</v>
      </c>
      <c r="Y31" s="27">
        <f t="shared" si="7"/>
        <v>17.3977866746561</v>
      </c>
      <c r="AA31" s="24">
        <f t="shared" si="8"/>
        <v>0.9325529387571663</v>
      </c>
      <c r="AB31" s="23">
        <f t="shared" si="9"/>
        <v>0.6784123130857613</v>
      </c>
      <c r="AC31" s="23">
        <f>IF('DadosReais&amp;Graficos'!soilClass&gt;0,0.8-0.1*'DadosReais&amp;Graficos'!soilClass,IF('DadosReais&amp;Graficos'!soilClass&lt;0,SWconst0,999))</f>
        <v>0.6000000000000001</v>
      </c>
      <c r="AD31" s="23">
        <f>IF('DadosReais&amp;Graficos'!soilClass&gt;0,11-2*'DadosReais&amp;Graficos'!soilClass,SWpower0)</f>
        <v>7</v>
      </c>
      <c r="AE31" s="24">
        <f>1/(1+((1-CD31/'DadosReais&amp;Graficos'!MaxASW)/AC31)^AD31)</f>
        <v>0.7940832892603326</v>
      </c>
      <c r="AF31" s="24">
        <f t="shared" si="58"/>
        <v>0.6</v>
      </c>
      <c r="AG31" s="27">
        <f t="shared" si="10"/>
        <v>1</v>
      </c>
      <c r="AH31" s="27">
        <f t="shared" si="11"/>
        <v>1</v>
      </c>
      <c r="AI31" s="27">
        <f t="shared" si="38"/>
        <v>0.9991269772410933</v>
      </c>
      <c r="AJ31" s="24">
        <f t="shared" si="39"/>
        <v>0.6778200436965149</v>
      </c>
      <c r="AM31" s="27">
        <f t="shared" si="40"/>
        <v>726.3899803161621</v>
      </c>
      <c r="AN31" s="27">
        <f t="shared" si="12"/>
        <v>1</v>
      </c>
      <c r="AO31" s="27">
        <f t="shared" si="41"/>
        <v>0.7653818592842898</v>
      </c>
      <c r="AP31" s="27">
        <f t="shared" si="59"/>
        <v>555.9657136998628</v>
      </c>
      <c r="AQ31" s="27">
        <f t="shared" si="60"/>
        <v>0.03476566905337328</v>
      </c>
      <c r="AR31" s="27">
        <f t="shared" si="42"/>
        <v>1.9190649317462047</v>
      </c>
      <c r="AS31" s="27">
        <f t="shared" si="43"/>
        <v>1</v>
      </c>
      <c r="AT31" s="25">
        <f t="shared" si="44"/>
        <v>10.669343044146572</v>
      </c>
      <c r="AU31" s="25">
        <f t="shared" si="13"/>
        <v>5.014591230748889</v>
      </c>
      <c r="AW31" s="25">
        <f t="shared" si="14"/>
        <v>0.6</v>
      </c>
      <c r="AX31" s="25">
        <f t="shared" si="45"/>
        <v>0.10796771602768007</v>
      </c>
      <c r="AY31" s="25">
        <f t="shared" si="46"/>
        <v>0.25654865307109537</v>
      </c>
      <c r="AZ31" s="25">
        <f t="shared" si="61"/>
        <v>0.6710045213179578</v>
      </c>
      <c r="BA31" s="25">
        <f t="shared" si="62"/>
        <v>0.07244682561094673</v>
      </c>
      <c r="BB31" s="25">
        <f t="shared" si="15"/>
        <v>0.3632912164042475</v>
      </c>
      <c r="BC31" s="25">
        <f t="shared" si="16"/>
        <v>1.2864866259507537</v>
      </c>
      <c r="BD31" s="25">
        <f t="shared" si="17"/>
        <v>3.364813388393887</v>
      </c>
      <c r="BG31" s="76">
        <f t="shared" si="47"/>
        <v>30468</v>
      </c>
      <c r="BH31" s="30">
        <f t="shared" si="18"/>
        <v>30</v>
      </c>
      <c r="BI31" s="27">
        <f>'PSP-1 Metdata'!D32</f>
        <v>19.299999713897705</v>
      </c>
      <c r="BJ31" s="28">
        <f>'PSP-1 Metdata'!E32</f>
        <v>24.799999237060547</v>
      </c>
      <c r="BK31" s="28">
        <f>'PSP-1 Metdata'!F32</f>
        <v>13.800000190734863</v>
      </c>
      <c r="BL31" s="28">
        <f>'PSP-1 Metdata'!G32</f>
        <v>14.560000610351564</v>
      </c>
      <c r="BM31" s="28">
        <f>'PSP-1 Metdata'!I32</f>
        <v>24.21299934387207</v>
      </c>
      <c r="BN31" s="28">
        <f>'PSP-1 Metdata'!J32</f>
        <v>2</v>
      </c>
      <c r="BO31" s="28">
        <f>'PSP-1 Metdata'!K32</f>
        <v>0</v>
      </c>
      <c r="BP31" s="25">
        <f>'PSP-1 Metdata'!L32</f>
        <v>31.298364203109077</v>
      </c>
      <c r="BQ31" s="25">
        <f>'PSP-1 Metdata'!M32</f>
        <v>15.778362423757994</v>
      </c>
      <c r="BR31" s="25">
        <f>'PSP-1 Metdata'!N32</f>
        <v>7.760000889675542</v>
      </c>
      <c r="BT31" s="25">
        <f t="shared" si="48"/>
        <v>53082.57808162483</v>
      </c>
      <c r="BU31" s="25">
        <f t="shared" si="19"/>
        <v>274.910676442879</v>
      </c>
      <c r="BV31" s="25">
        <f t="shared" si="20"/>
        <v>0.2</v>
      </c>
      <c r="BW31" s="25">
        <f t="shared" si="21"/>
        <v>2849.695814714482</v>
      </c>
      <c r="BX31" s="25">
        <f t="shared" si="22"/>
        <v>0.011804213830092359</v>
      </c>
      <c r="BY31" s="25">
        <f t="shared" si="49"/>
        <v>20.14310208869159</v>
      </c>
      <c r="BZ31" s="25">
        <f t="shared" si="23"/>
        <v>171.4978799034228</v>
      </c>
      <c r="CA31" s="27">
        <f t="shared" si="24"/>
        <v>3.7006299190270564</v>
      </c>
      <c r="CB31" s="139">
        <f t="shared" si="50"/>
        <v>111.01889757081169</v>
      </c>
      <c r="CD31" s="27">
        <f>IF(CJ30&lt;'DadosReais&amp;Graficos'!MinASW,'DadosReais&amp;Graficos'!MinASW,IF(CJ30&gt;'DadosReais&amp;Graficos'!MaxASW,'DadosReais&amp;Graficos'!MaxASW,CJ30))</f>
        <v>101.04402166596759</v>
      </c>
      <c r="CE31" s="25">
        <f t="shared" si="25"/>
        <v>2.1840000915527344</v>
      </c>
      <c r="CG31" s="27">
        <f t="shared" si="26"/>
        <v>115.60402227631916</v>
      </c>
      <c r="CH31" s="27">
        <f t="shared" si="51"/>
        <v>113.20289766236442</v>
      </c>
      <c r="CI31" s="27">
        <f>MAX(CG31-CH31-'DadosReais&amp;Graficos'!MaxASW,0)</f>
        <v>0</v>
      </c>
      <c r="CJ31" s="27">
        <f t="shared" si="63"/>
        <v>2.4011246139547353</v>
      </c>
      <c r="CK31" s="27">
        <f>poolFractn*Month!CI31</f>
        <v>0</v>
      </c>
      <c r="CQ31" s="25">
        <f>SIN(PI()*'DadosReais&amp;Graficos'!Lat/180)</f>
        <v>0.6293203910498374</v>
      </c>
      <c r="CR31" s="25">
        <f>COS(PI()*'DadosReais&amp;Graficos'!Lat/180)</f>
        <v>0.7771459614569709</v>
      </c>
      <c r="CS31" s="25">
        <f t="shared" si="65"/>
        <v>1983</v>
      </c>
      <c r="CT31" s="29">
        <f t="shared" si="66"/>
        <v>30317</v>
      </c>
      <c r="CU31" s="30">
        <f t="shared" si="52"/>
        <v>6</v>
      </c>
      <c r="CV31" s="27">
        <f t="shared" si="27"/>
        <v>166</v>
      </c>
      <c r="CW31" s="25">
        <f t="shared" si="67"/>
        <v>0.3983231954255811</v>
      </c>
      <c r="CX31" s="25">
        <f t="shared" si="28"/>
        <v>-0.3516571006926921</v>
      </c>
      <c r="CY31" s="25">
        <f t="shared" si="68"/>
        <v>0.6143816907595466</v>
      </c>
      <c r="CZ31" s="25">
        <f t="shared" si="69"/>
        <v>53082.57808162483</v>
      </c>
    </row>
    <row r="32" spans="1:104" ht="12.75">
      <c r="A32" s="149">
        <f t="shared" si="29"/>
        <v>30495</v>
      </c>
      <c r="B32" s="60">
        <f t="shared" si="71"/>
        <v>8.25</v>
      </c>
      <c r="C32" s="78">
        <f t="shared" si="53"/>
        <v>8.249999999999995</v>
      </c>
      <c r="D32" s="171">
        <f t="shared" si="30"/>
        <v>555757.2781210718</v>
      </c>
      <c r="E32" s="30">
        <f t="shared" si="70"/>
        <v>1111</v>
      </c>
      <c r="F32" s="27">
        <f t="shared" si="54"/>
        <v>7.5103637546198065</v>
      </c>
      <c r="G32" s="27">
        <f t="shared" si="31"/>
        <v>23.161933022008856</v>
      </c>
      <c r="H32" s="27">
        <f t="shared" si="32"/>
        <v>83.3997998385473</v>
      </c>
      <c r="I32" s="27">
        <f t="shared" si="33"/>
        <v>90.9101635931671</v>
      </c>
      <c r="J32" s="27">
        <f t="shared" si="55"/>
        <v>114.07209661517595</v>
      </c>
      <c r="K32" s="27">
        <f t="shared" si="34"/>
        <v>4.00368876838649</v>
      </c>
      <c r="L32" s="27">
        <f t="shared" si="35"/>
        <v>3.0069159010868307</v>
      </c>
      <c r="M32" s="27">
        <f t="shared" si="56"/>
        <v>2.317865596213564</v>
      </c>
      <c r="O32" s="25">
        <f t="shared" si="36"/>
        <v>0.013</v>
      </c>
      <c r="P32" s="25">
        <f t="shared" si="37"/>
        <v>0.09763472881005748</v>
      </c>
      <c r="Q32" s="25">
        <f t="shared" si="1"/>
        <v>0.23161933022008857</v>
      </c>
      <c r="S32" s="27">
        <f t="shared" si="57"/>
        <v>75.0673265873513</v>
      </c>
      <c r="T32" s="27">
        <f t="shared" si="2"/>
        <v>14.336857796501251</v>
      </c>
      <c r="U32" s="27">
        <f t="shared" si="3"/>
        <v>0.18438765162017523</v>
      </c>
      <c r="V32" s="27">
        <f t="shared" si="4"/>
        <v>0.45</v>
      </c>
      <c r="W32" s="27">
        <f t="shared" si="5"/>
        <v>151.15979244605532</v>
      </c>
      <c r="X32" s="27">
        <f t="shared" si="6"/>
        <v>18.322399084370353</v>
      </c>
      <c r="Y32" s="27">
        <f t="shared" si="7"/>
        <v>17.935434221732123</v>
      </c>
      <c r="AA32" s="24">
        <f t="shared" si="8"/>
        <v>0.9325529387571663</v>
      </c>
      <c r="AB32" s="23">
        <f t="shared" si="9"/>
        <v>0.7289571499600356</v>
      </c>
      <c r="AC32" s="23">
        <f>IF('DadosReais&amp;Graficos'!soilClass&gt;0,0.8-0.1*'DadosReais&amp;Graficos'!soilClass,IF('DadosReais&amp;Graficos'!soilClass&lt;0,SWconst0,999))</f>
        <v>0.6000000000000001</v>
      </c>
      <c r="AD32" s="23">
        <f>IF('DadosReais&amp;Graficos'!soilClass&gt;0,11-2*'DadosReais&amp;Graficos'!soilClass,SWpower0)</f>
        <v>7</v>
      </c>
      <c r="AE32" s="24">
        <f>1/(1+((1-CD32/'DadosReais&amp;Graficos'!MaxASW)/AC32)^AD32)</f>
        <v>0.02956275465343954</v>
      </c>
      <c r="AF32" s="24">
        <f t="shared" si="58"/>
        <v>0.6</v>
      </c>
      <c r="AG32" s="27">
        <f t="shared" si="10"/>
        <v>1</v>
      </c>
      <c r="AH32" s="27">
        <f t="shared" si="11"/>
        <v>1</v>
      </c>
      <c r="AI32" s="27">
        <f t="shared" si="38"/>
        <v>0.9990908274237082</v>
      </c>
      <c r="AJ32" s="24">
        <f t="shared" si="39"/>
        <v>0.02953587700762899</v>
      </c>
      <c r="AM32" s="27">
        <f t="shared" si="40"/>
        <v>705.9600067138672</v>
      </c>
      <c r="AN32" s="27">
        <f t="shared" si="12"/>
        <v>1</v>
      </c>
      <c r="AO32" s="27">
        <f t="shared" si="41"/>
        <v>0.7776400804157116</v>
      </c>
      <c r="AP32" s="27">
        <f t="shared" si="59"/>
        <v>548.982796391248</v>
      </c>
      <c r="AQ32" s="27">
        <f t="shared" si="60"/>
        <v>0.0015149072896229049</v>
      </c>
      <c r="AR32" s="27">
        <f t="shared" si="42"/>
        <v>0.08362288238718435</v>
      </c>
      <c r="AS32" s="27">
        <f t="shared" si="43"/>
        <v>0.9188615909802832</v>
      </c>
      <c r="AT32" s="25">
        <f t="shared" si="44"/>
        <v>0.4218266037081177</v>
      </c>
      <c r="AU32" s="25">
        <f t="shared" si="13"/>
        <v>0.1982585037428153</v>
      </c>
      <c r="AW32" s="25">
        <f t="shared" si="14"/>
        <v>0.6</v>
      </c>
      <c r="AX32" s="25">
        <f t="shared" si="45"/>
        <v>0.10711202658843517</v>
      </c>
      <c r="AY32" s="25">
        <f t="shared" si="46"/>
        <v>0.4801458593341768</v>
      </c>
      <c r="AZ32" s="25">
        <f t="shared" si="61"/>
        <v>0.46955875122028384</v>
      </c>
      <c r="BA32" s="25">
        <f t="shared" si="62"/>
        <v>0.05029538944553941</v>
      </c>
      <c r="BB32" s="25">
        <f t="shared" si="15"/>
        <v>0.009971488656634829</v>
      </c>
      <c r="BC32" s="25">
        <f t="shared" si="16"/>
        <v>0.09519299964990216</v>
      </c>
      <c r="BD32" s="25">
        <f t="shared" si="17"/>
        <v>0.09309401543627834</v>
      </c>
      <c r="BG32" s="76">
        <f t="shared" si="47"/>
        <v>30498</v>
      </c>
      <c r="BH32" s="30">
        <f t="shared" si="18"/>
        <v>31</v>
      </c>
      <c r="BI32" s="27">
        <f>'PSP-1 Metdata'!D33</f>
        <v>19.299999713897705</v>
      </c>
      <c r="BJ32" s="28">
        <f>'PSP-1 Metdata'!E33</f>
        <v>23.799999237060547</v>
      </c>
      <c r="BK32" s="28">
        <f>'PSP-1 Metdata'!F33</f>
        <v>14.800000190734863</v>
      </c>
      <c r="BL32" s="28">
        <f>'PSP-1 Metdata'!G33</f>
        <v>2.5600000381469727</v>
      </c>
      <c r="BM32" s="28">
        <f>'PSP-1 Metdata'!I33</f>
        <v>22.772903442382812</v>
      </c>
      <c r="BN32" s="28">
        <f>'PSP-1 Metdata'!J33</f>
        <v>1</v>
      </c>
      <c r="BO32" s="28">
        <f>'PSP-1 Metdata'!K33</f>
        <v>0</v>
      </c>
      <c r="BP32" s="25">
        <f>'PSP-1 Metdata'!L33</f>
        <v>29.47918908010422</v>
      </c>
      <c r="BQ32" s="25">
        <f>'PSP-1 Metdata'!M33</f>
        <v>16.833575963888826</v>
      </c>
      <c r="BR32" s="25">
        <f>'PSP-1 Metdata'!N33</f>
        <v>6.322806558107697</v>
      </c>
      <c r="BT32" s="25">
        <f t="shared" si="48"/>
        <v>51987.026278968784</v>
      </c>
      <c r="BU32" s="25">
        <f t="shared" si="19"/>
        <v>260.4397935004878</v>
      </c>
      <c r="BV32" s="25">
        <f t="shared" si="20"/>
        <v>0.2</v>
      </c>
      <c r="BW32" s="25">
        <f t="shared" si="21"/>
        <v>2321.91666496602</v>
      </c>
      <c r="BX32" s="25">
        <f t="shared" si="22"/>
        <v>0.0005334047941548621</v>
      </c>
      <c r="BY32" s="25">
        <f t="shared" si="49"/>
        <v>378.14976084135924</v>
      </c>
      <c r="BZ32" s="25">
        <f t="shared" si="23"/>
        <v>7.655390827766648</v>
      </c>
      <c r="CA32" s="27">
        <f t="shared" si="24"/>
        <v>0.16178089599141515</v>
      </c>
      <c r="CB32" s="139">
        <f t="shared" si="50"/>
        <v>5.015207775733869</v>
      </c>
      <c r="CD32" s="27">
        <f>IF(CJ31&lt;'DadosReais&amp;Graficos'!MinASW,'DadosReais&amp;Graficos'!MinASW,IF(CJ31&gt;'DadosReais&amp;Graficos'!MaxASW,'DadosReais&amp;Graficos'!MaxASW,CJ31))</f>
        <v>2.4011246139547353</v>
      </c>
      <c r="CE32" s="25">
        <f t="shared" si="25"/>
        <v>0.3840000057220459</v>
      </c>
      <c r="CG32" s="27">
        <f t="shared" si="26"/>
        <v>4.961124652101708</v>
      </c>
      <c r="CH32" s="27">
        <f t="shared" si="51"/>
        <v>4.961124652101708</v>
      </c>
      <c r="CI32" s="27">
        <f>MAX(CG32-CH32-'DadosReais&amp;Graficos'!MaxASW,0)</f>
        <v>0</v>
      </c>
      <c r="CJ32" s="27">
        <f t="shared" si="63"/>
        <v>0</v>
      </c>
      <c r="CK32" s="27">
        <f>poolFractn*Month!CI32</f>
        <v>0</v>
      </c>
      <c r="CQ32" s="25">
        <f>SIN(PI()*'DadosReais&amp;Graficos'!Lat/180)</f>
        <v>0.6293203910498374</v>
      </c>
      <c r="CR32" s="25">
        <f>COS(PI()*'DadosReais&amp;Graficos'!Lat/180)</f>
        <v>0.7771459614569709</v>
      </c>
      <c r="CS32" s="25">
        <f t="shared" si="65"/>
        <v>1983</v>
      </c>
      <c r="CT32" s="29">
        <f t="shared" si="66"/>
        <v>30317</v>
      </c>
      <c r="CU32" s="30">
        <f t="shared" si="52"/>
        <v>7</v>
      </c>
      <c r="CV32" s="27">
        <f t="shared" si="27"/>
        <v>197</v>
      </c>
      <c r="CW32" s="25">
        <f t="shared" si="67"/>
        <v>0.3616269729601193</v>
      </c>
      <c r="CX32" s="25">
        <f t="shared" si="28"/>
        <v>-0.3140969275246581</v>
      </c>
      <c r="CY32" s="25">
        <f t="shared" si="68"/>
        <v>0.6017016930436202</v>
      </c>
      <c r="CZ32" s="25">
        <f t="shared" si="69"/>
        <v>51987.026278968784</v>
      </c>
    </row>
    <row r="33" spans="1:104" ht="12.75">
      <c r="A33" s="149">
        <f t="shared" si="29"/>
        <v>30525</v>
      </c>
      <c r="B33" s="60">
        <f t="shared" si="71"/>
        <v>8.33</v>
      </c>
      <c r="C33" s="78">
        <f t="shared" si="53"/>
        <v>8.333333333333329</v>
      </c>
      <c r="D33" s="171">
        <f t="shared" si="30"/>
        <v>556747.9509848828</v>
      </c>
      <c r="E33" s="30">
        <f t="shared" si="70"/>
        <v>1111</v>
      </c>
      <c r="F33" s="27">
        <f t="shared" si="54"/>
        <v>7.422700514466383</v>
      </c>
      <c r="G33" s="27">
        <f t="shared" si="31"/>
        <v>23.02550669143867</v>
      </c>
      <c r="H33" s="27">
        <f t="shared" si="32"/>
        <v>83.49289385398357</v>
      </c>
      <c r="I33" s="27">
        <f t="shared" si="33"/>
        <v>90.91559436844996</v>
      </c>
      <c r="J33" s="27">
        <f t="shared" si="55"/>
        <v>113.94110105988864</v>
      </c>
      <c r="K33" s="27">
        <f t="shared" si="34"/>
        <v>4.0031646108330134</v>
      </c>
      <c r="L33" s="27">
        <f t="shared" si="35"/>
        <v>2.971429201632383</v>
      </c>
      <c r="M33" s="27">
        <f t="shared" si="56"/>
        <v>2.4155003250236216</v>
      </c>
      <c r="O33" s="25">
        <f t="shared" si="36"/>
        <v>0.013</v>
      </c>
      <c r="P33" s="25">
        <f t="shared" si="37"/>
        <v>0.09649510668806298</v>
      </c>
      <c r="Q33" s="25">
        <f t="shared" si="1"/>
        <v>0.2302550669143867</v>
      </c>
      <c r="S33" s="27">
        <f t="shared" si="57"/>
        <v>75.15111958054327</v>
      </c>
      <c r="T33" s="27">
        <f t="shared" si="2"/>
        <v>14.34276930186843</v>
      </c>
      <c r="U33" s="27">
        <f t="shared" si="3"/>
        <v>0.18340870193026276</v>
      </c>
      <c r="V33" s="27">
        <f t="shared" si="4"/>
        <v>0.45</v>
      </c>
      <c r="W33" s="27">
        <f t="shared" si="5"/>
        <v>151.51015682627386</v>
      </c>
      <c r="X33" s="27">
        <f t="shared" si="6"/>
        <v>18.181218819152875</v>
      </c>
      <c r="Y33" s="27">
        <f t="shared" si="7"/>
        <v>17.950227878174573</v>
      </c>
      <c r="AA33" s="24">
        <f t="shared" si="8"/>
        <v>0.8994137403211064</v>
      </c>
      <c r="AB33" s="23">
        <f t="shared" si="9"/>
        <v>0.697658222320642</v>
      </c>
      <c r="AC33" s="23">
        <f>IF('DadosReais&amp;Graficos'!soilClass&gt;0,0.8-0.1*'DadosReais&amp;Graficos'!soilClass,IF('DadosReais&amp;Graficos'!soilClass&lt;0,SWconst0,999))</f>
        <v>0.6000000000000001</v>
      </c>
      <c r="AD33" s="23">
        <f>IF('DadosReais&amp;Graficos'!soilClass&gt;0,11-2*'DadosReais&amp;Graficos'!soilClass,SWpower0)</f>
        <v>7</v>
      </c>
      <c r="AE33" s="24">
        <f>1/(1+((1-CD33/'DadosReais&amp;Graficos'!MaxASW)/AC33)^AD33)</f>
        <v>0.027231297938041656</v>
      </c>
      <c r="AF33" s="24">
        <f t="shared" si="58"/>
        <v>0.6</v>
      </c>
      <c r="AG33" s="27">
        <f t="shared" si="10"/>
        <v>1</v>
      </c>
      <c r="AH33" s="27">
        <f t="shared" si="11"/>
        <v>1</v>
      </c>
      <c r="AI33" s="27">
        <f t="shared" si="38"/>
        <v>0.9990535681380308</v>
      </c>
      <c r="AJ33" s="24">
        <f t="shared" si="39"/>
        <v>0.027205525370030317</v>
      </c>
      <c r="AM33" s="27">
        <f t="shared" si="40"/>
        <v>711.5999717712402</v>
      </c>
      <c r="AN33" s="27">
        <f t="shared" si="12"/>
        <v>1</v>
      </c>
      <c r="AO33" s="27">
        <f t="shared" si="41"/>
        <v>0.773659460262621</v>
      </c>
      <c r="AP33" s="27">
        <f t="shared" si="59"/>
        <v>550.536050083434</v>
      </c>
      <c r="AQ33" s="27">
        <f t="shared" si="60"/>
        <v>0.0013457962831752847</v>
      </c>
      <c r="AR33" s="27">
        <f t="shared" si="42"/>
        <v>0.0742879548312757</v>
      </c>
      <c r="AS33" s="27">
        <f t="shared" si="43"/>
        <v>1</v>
      </c>
      <c r="AT33" s="25">
        <f t="shared" si="44"/>
        <v>0.40898197221587085</v>
      </c>
      <c r="AU33" s="25">
        <f t="shared" si="13"/>
        <v>0.19222152694145928</v>
      </c>
      <c r="AW33" s="25">
        <f t="shared" si="14"/>
        <v>0.6</v>
      </c>
      <c r="AX33" s="25">
        <f t="shared" si="45"/>
        <v>0.10708894067788918</v>
      </c>
      <c r="AY33" s="25">
        <f t="shared" si="46"/>
        <v>0.4816548571884267</v>
      </c>
      <c r="AZ33" s="25">
        <f t="shared" si="61"/>
        <v>0.46820551065588445</v>
      </c>
      <c r="BA33" s="25">
        <f t="shared" si="62"/>
        <v>0.05013963215568884</v>
      </c>
      <c r="BB33" s="25">
        <f t="shared" si="15"/>
        <v>0.0096379166532496</v>
      </c>
      <c r="BC33" s="25">
        <f t="shared" si="16"/>
        <v>0.09258443210752988</v>
      </c>
      <c r="BD33" s="25">
        <f t="shared" si="17"/>
        <v>0.08999917818067979</v>
      </c>
      <c r="BG33" s="76">
        <f t="shared" si="47"/>
        <v>30529</v>
      </c>
      <c r="BH33" s="30">
        <f t="shared" si="18"/>
        <v>31</v>
      </c>
      <c r="BI33" s="27">
        <f>'PSP-1 Metdata'!D34</f>
        <v>20.09999990463257</v>
      </c>
      <c r="BJ33" s="28">
        <f>'PSP-1 Metdata'!E34</f>
        <v>25</v>
      </c>
      <c r="BK33" s="28">
        <f>'PSP-1 Metdata'!F34</f>
        <v>15.199999809265137</v>
      </c>
      <c r="BL33" s="28">
        <f>'PSP-1 Metdata'!G34</f>
        <v>8.640000152587891</v>
      </c>
      <c r="BM33" s="28">
        <f>'PSP-1 Metdata'!I34</f>
        <v>22.954837799072266</v>
      </c>
      <c r="BN33" s="28">
        <f>'PSP-1 Metdata'!J34</f>
        <v>2</v>
      </c>
      <c r="BO33" s="28">
        <f>'PSP-1 Metdata'!K34</f>
        <v>0</v>
      </c>
      <c r="BP33" s="25">
        <f>'PSP-1 Metdata'!L34</f>
        <v>31.673720930966624</v>
      </c>
      <c r="BQ33" s="25">
        <f>'PSP-1 Metdata'!M34</f>
        <v>17.272682971981894</v>
      </c>
      <c r="BR33" s="25">
        <f>'PSP-1 Metdata'!N34</f>
        <v>7.200518979492365</v>
      </c>
      <c r="BT33" s="25">
        <f t="shared" si="48"/>
        <v>48361.75661678577</v>
      </c>
      <c r="BU33" s="25">
        <f t="shared" si="19"/>
        <v>289.7188424062318</v>
      </c>
      <c r="BV33" s="25">
        <f t="shared" si="20"/>
        <v>0.2</v>
      </c>
      <c r="BW33" s="25">
        <f t="shared" si="21"/>
        <v>2644.2379442162064</v>
      </c>
      <c r="BX33" s="25">
        <f t="shared" si="22"/>
        <v>0.0004855212764580103</v>
      </c>
      <c r="BY33" s="25">
        <f t="shared" si="49"/>
        <v>415.1283946916727</v>
      </c>
      <c r="BZ33" s="25">
        <f t="shared" si="23"/>
        <v>7.905070911729045</v>
      </c>
      <c r="CA33" s="27">
        <f t="shared" si="24"/>
        <v>0.1554077705168589</v>
      </c>
      <c r="CB33" s="139">
        <f t="shared" si="50"/>
        <v>4.817640886022626</v>
      </c>
      <c r="CD33" s="27">
        <f>IF(CJ32&lt;'DadosReais&amp;Graficos'!MinASW,'DadosReais&amp;Graficos'!MinASW,IF(CJ32&gt;'DadosReais&amp;Graficos'!MaxASW,'DadosReais&amp;Graficos'!MaxASW,CJ32))</f>
        <v>0</v>
      </c>
      <c r="CE33" s="25">
        <f t="shared" si="25"/>
        <v>1.2960000228881836</v>
      </c>
      <c r="CG33" s="27">
        <f t="shared" si="26"/>
        <v>8.640000152587891</v>
      </c>
      <c r="CH33" s="27">
        <f t="shared" si="51"/>
        <v>6.11364090891081</v>
      </c>
      <c r="CI33" s="27">
        <f>MAX(CG33-CH33-'DadosReais&amp;Graficos'!MaxASW,0)</f>
        <v>0</v>
      </c>
      <c r="CJ33" s="27">
        <f t="shared" si="63"/>
        <v>2.5263592436770814</v>
      </c>
      <c r="CK33" s="27">
        <f>poolFractn*Month!CI33</f>
        <v>0</v>
      </c>
      <c r="CQ33" s="25">
        <f>SIN(PI()*'DadosReais&amp;Graficos'!Lat/180)</f>
        <v>0.6293203910498374</v>
      </c>
      <c r="CR33" s="25">
        <f>COS(PI()*'DadosReais&amp;Graficos'!Lat/180)</f>
        <v>0.7771459614569709</v>
      </c>
      <c r="CS33" s="25">
        <f t="shared" si="65"/>
        <v>1983</v>
      </c>
      <c r="CT33" s="29">
        <f t="shared" si="66"/>
        <v>30317</v>
      </c>
      <c r="CU33" s="30">
        <f t="shared" si="52"/>
        <v>8</v>
      </c>
      <c r="CV33" s="27">
        <f t="shared" si="27"/>
        <v>228</v>
      </c>
      <c r="CW33" s="25">
        <f t="shared" si="67"/>
        <v>0.2245322171168967</v>
      </c>
      <c r="CX33" s="25">
        <f t="shared" si="28"/>
        <v>-0.18658678708195917</v>
      </c>
      <c r="CY33" s="25">
        <f t="shared" si="68"/>
        <v>0.5597425534350206</v>
      </c>
      <c r="CZ33" s="25">
        <f t="shared" si="69"/>
        <v>48361.75661678577</v>
      </c>
    </row>
    <row r="34" spans="1:104" ht="12.75">
      <c r="A34" s="149">
        <f t="shared" si="29"/>
        <v>30556</v>
      </c>
      <c r="B34" s="60">
        <f t="shared" si="71"/>
        <v>8.42</v>
      </c>
      <c r="C34" s="78">
        <f t="shared" si="53"/>
        <v>8.416666666666663</v>
      </c>
      <c r="D34" s="171">
        <f t="shared" si="30"/>
        <v>557768.3708023392</v>
      </c>
      <c r="E34" s="30">
        <f t="shared" si="70"/>
        <v>1111</v>
      </c>
      <c r="F34" s="27">
        <f t="shared" si="54"/>
        <v>7.33584332443157</v>
      </c>
      <c r="G34" s="27">
        <f t="shared" si="31"/>
        <v>22.887836056631812</v>
      </c>
      <c r="H34" s="27">
        <f t="shared" si="32"/>
        <v>83.58289303216425</v>
      </c>
      <c r="I34" s="27">
        <f t="shared" si="33"/>
        <v>90.91873635659582</v>
      </c>
      <c r="J34" s="27">
        <f t="shared" si="55"/>
        <v>113.80657241322763</v>
      </c>
      <c r="K34" s="27">
        <f t="shared" si="34"/>
        <v>4.00271075506582</v>
      </c>
      <c r="L34" s="27">
        <f t="shared" si="35"/>
        <v>2.9363258972180044</v>
      </c>
      <c r="M34" s="27">
        <f t="shared" si="56"/>
        <v>2.5119954317116844</v>
      </c>
      <c r="O34" s="25">
        <f t="shared" si="36"/>
        <v>0.013</v>
      </c>
      <c r="P34" s="25">
        <f t="shared" si="37"/>
        <v>0.09536596321761041</v>
      </c>
      <c r="Q34" s="25">
        <f t="shared" si="1"/>
        <v>0.22887836056631813</v>
      </c>
      <c r="S34" s="27">
        <f t="shared" si="57"/>
        <v>75.23212694164198</v>
      </c>
      <c r="T34" s="27">
        <f t="shared" si="2"/>
        <v>14.348480334468851</v>
      </c>
      <c r="U34" s="27">
        <f t="shared" si="3"/>
        <v>0.1824576210377304</v>
      </c>
      <c r="V34" s="27">
        <f t="shared" si="4"/>
        <v>0.45</v>
      </c>
      <c r="W34" s="27">
        <f t="shared" si="5"/>
        <v>151.85012713347658</v>
      </c>
      <c r="X34" s="27">
        <f t="shared" si="6"/>
        <v>18.041599263383365</v>
      </c>
      <c r="Y34" s="27">
        <f t="shared" si="7"/>
        <v>17.964525639523327</v>
      </c>
      <c r="AA34" s="24">
        <f t="shared" si="8"/>
        <v>0.9103385331377938</v>
      </c>
      <c r="AB34" s="23">
        <f t="shared" si="9"/>
        <v>0.6244119370049303</v>
      </c>
      <c r="AC34" s="23">
        <f>IF('DadosReais&amp;Graficos'!soilClass&gt;0,0.8-0.1*'DadosReais&amp;Graficos'!soilClass,IF('DadosReais&amp;Graficos'!soilClass&lt;0,SWconst0,999))</f>
        <v>0.6000000000000001</v>
      </c>
      <c r="AD34" s="23">
        <f>IF('DadosReais&amp;Graficos'!soilClass&gt;0,11-2*'DadosReais&amp;Graficos'!soilClass,SWpower0)</f>
        <v>7</v>
      </c>
      <c r="AE34" s="24">
        <f>1/(1+((1-CD34/'DadosReais&amp;Graficos'!MaxASW)/AC34)^AD34)</f>
        <v>0.029690338282970317</v>
      </c>
      <c r="AF34" s="24">
        <f t="shared" si="58"/>
        <v>0.6</v>
      </c>
      <c r="AG34" s="27">
        <f t="shared" si="10"/>
        <v>1</v>
      </c>
      <c r="AH34" s="27">
        <f t="shared" si="11"/>
        <v>1</v>
      </c>
      <c r="AI34" s="27">
        <f t="shared" si="38"/>
        <v>0.9990151770549337</v>
      </c>
      <c r="AJ34" s="24">
        <f t="shared" si="39"/>
        <v>0.029661098556582468</v>
      </c>
      <c r="AM34" s="27">
        <f t="shared" si="40"/>
        <v>579.6600151062012</v>
      </c>
      <c r="AN34" s="27">
        <f t="shared" si="12"/>
        <v>1</v>
      </c>
      <c r="AO34" s="27">
        <f t="shared" si="41"/>
        <v>0.7696517416717906</v>
      </c>
      <c r="AP34" s="27">
        <f t="shared" si="59"/>
        <v>446.1363402039842</v>
      </c>
      <c r="AQ34" s="27">
        <f t="shared" si="60"/>
        <v>0.001485090252319015</v>
      </c>
      <c r="AR34" s="27">
        <f t="shared" si="42"/>
        <v>0.08197698192800962</v>
      </c>
      <c r="AS34" s="27">
        <f t="shared" si="43"/>
        <v>0.766527357857014</v>
      </c>
      <c r="AT34" s="25">
        <f t="shared" si="44"/>
        <v>0.28034136606731697</v>
      </c>
      <c r="AU34" s="25">
        <f t="shared" si="13"/>
        <v>0.13176044205163898</v>
      </c>
      <c r="AW34" s="25">
        <f t="shared" si="14"/>
        <v>0.6</v>
      </c>
      <c r="AX34" s="25">
        <f t="shared" si="45"/>
        <v>0.10706665142113686</v>
      </c>
      <c r="AY34" s="25">
        <f t="shared" si="46"/>
        <v>0.4800650409111504</v>
      </c>
      <c r="AZ34" s="25">
        <f t="shared" si="61"/>
        <v>0.46965099926134635</v>
      </c>
      <c r="BA34" s="25">
        <f t="shared" si="62"/>
        <v>0.05028395982750322</v>
      </c>
      <c r="BB34" s="25">
        <f t="shared" si="15"/>
        <v>0.00662543677497868</v>
      </c>
      <c r="BC34" s="25">
        <f t="shared" si="16"/>
        <v>0.06325358200399132</v>
      </c>
      <c r="BD34" s="25">
        <f t="shared" si="17"/>
        <v>0.06188142327266896</v>
      </c>
      <c r="BG34" s="76">
        <f t="shared" si="47"/>
        <v>30560</v>
      </c>
      <c r="BH34" s="30">
        <f t="shared" si="18"/>
        <v>30</v>
      </c>
      <c r="BI34" s="27">
        <f>'PSP-1 Metdata'!D35</f>
        <v>19.84999942779541</v>
      </c>
      <c r="BJ34" s="28">
        <f>'PSP-1 Metdata'!E35</f>
        <v>26.299999237060547</v>
      </c>
      <c r="BK34" s="28">
        <f>'PSP-1 Metdata'!F35</f>
        <v>13.399999618530273</v>
      </c>
      <c r="BL34" s="28">
        <f>'PSP-1 Metdata'!G35</f>
        <v>2</v>
      </c>
      <c r="BM34" s="28">
        <f>'PSP-1 Metdata'!I35</f>
        <v>19.32200050354004</v>
      </c>
      <c r="BN34" s="28">
        <f>'PSP-1 Metdata'!J35</f>
        <v>1</v>
      </c>
      <c r="BO34" s="28">
        <f>'PSP-1 Metdata'!K35</f>
        <v>0</v>
      </c>
      <c r="BP34" s="25">
        <f>'PSP-1 Metdata'!L35</f>
        <v>34.21061135585212</v>
      </c>
      <c r="BQ34" s="25">
        <f>'PSP-1 Metdata'!M35</f>
        <v>15.372812437338062</v>
      </c>
      <c r="BR34" s="25">
        <f>'PSP-1 Metdata'!N35</f>
        <v>9.41889945925703</v>
      </c>
      <c r="BT34" s="25">
        <f t="shared" si="48"/>
        <v>43912.27946472623</v>
      </c>
      <c r="BU34" s="25">
        <f t="shared" si="19"/>
        <v>262.01088604951116</v>
      </c>
      <c r="BV34" s="25">
        <f t="shared" si="20"/>
        <v>0.2</v>
      </c>
      <c r="BW34" s="25">
        <f t="shared" si="21"/>
        <v>3458.891145743608</v>
      </c>
      <c r="BX34" s="25">
        <f t="shared" si="22"/>
        <v>0.0005230910019917638</v>
      </c>
      <c r="BY34" s="25">
        <f t="shared" si="49"/>
        <v>385.5426502051531</v>
      </c>
      <c r="BZ34" s="25">
        <f t="shared" si="23"/>
        <v>10.46658545534529</v>
      </c>
      <c r="CA34" s="27">
        <f t="shared" si="24"/>
        <v>0.18683399412868343</v>
      </c>
      <c r="CB34" s="139">
        <f t="shared" si="50"/>
        <v>5.605019823860503</v>
      </c>
      <c r="CD34" s="27">
        <f>IF(CJ33&lt;'DadosReais&amp;Graficos'!MinASW,'DadosReais&amp;Graficos'!MinASW,IF(CJ33&gt;'DadosReais&amp;Graficos'!MaxASW,'DadosReais&amp;Graficos'!MaxASW,CJ33))</f>
        <v>2.5263592436770814</v>
      </c>
      <c r="CE34" s="25">
        <f t="shared" si="25"/>
        <v>0.3</v>
      </c>
      <c r="CG34" s="27">
        <f t="shared" si="26"/>
        <v>4.526359243677081</v>
      </c>
      <c r="CH34" s="27">
        <f t="shared" si="51"/>
        <v>4.526359243677081</v>
      </c>
      <c r="CI34" s="27">
        <f>MAX(CG34-CH34-'DadosReais&amp;Graficos'!MaxASW,0)</f>
        <v>0</v>
      </c>
      <c r="CJ34" s="27">
        <f t="shared" si="63"/>
        <v>0</v>
      </c>
      <c r="CK34" s="27">
        <f>poolFractn*Month!CI34</f>
        <v>0</v>
      </c>
      <c r="CQ34" s="25">
        <f>SIN(PI()*'DadosReais&amp;Graficos'!Lat/180)</f>
        <v>0.6293203910498374</v>
      </c>
      <c r="CR34" s="25">
        <f>COS(PI()*'DadosReais&amp;Graficos'!Lat/180)</f>
        <v>0.7771459614569709</v>
      </c>
      <c r="CS34" s="25">
        <f t="shared" si="65"/>
        <v>1983</v>
      </c>
      <c r="CT34" s="29">
        <f t="shared" si="66"/>
        <v>30317</v>
      </c>
      <c r="CU34" s="30">
        <f t="shared" si="52"/>
        <v>9</v>
      </c>
      <c r="CV34" s="27">
        <f t="shared" si="27"/>
        <v>258</v>
      </c>
      <c r="CW34" s="25">
        <f t="shared" si="67"/>
        <v>0.031962948421114835</v>
      </c>
      <c r="CX34" s="25">
        <f t="shared" si="28"/>
        <v>-0.025896316893613495</v>
      </c>
      <c r="CY34" s="25">
        <f t="shared" si="68"/>
        <v>0.5082439752861831</v>
      </c>
      <c r="CZ34" s="25">
        <f t="shared" si="69"/>
        <v>43912.27946472623</v>
      </c>
    </row>
    <row r="35" spans="1:104" ht="12.75">
      <c r="A35" s="149">
        <f t="shared" si="29"/>
        <v>30587</v>
      </c>
      <c r="B35" s="60">
        <f t="shared" si="71"/>
        <v>8.5</v>
      </c>
      <c r="C35" s="78">
        <f t="shared" si="53"/>
        <v>8.499999999999996</v>
      </c>
      <c r="D35" s="171">
        <f t="shared" si="30"/>
        <v>559233.7499300166</v>
      </c>
      <c r="E35" s="30">
        <f t="shared" si="70"/>
        <v>1111</v>
      </c>
      <c r="F35" s="27">
        <f t="shared" si="54"/>
        <v>7.247102797988938</v>
      </c>
      <c r="G35" s="27">
        <f t="shared" si="31"/>
        <v>22.722211278069484</v>
      </c>
      <c r="H35" s="27">
        <f t="shared" si="32"/>
        <v>83.64477445543692</v>
      </c>
      <c r="I35" s="27">
        <f t="shared" si="33"/>
        <v>90.89187725342586</v>
      </c>
      <c r="J35" s="27">
        <f t="shared" si="55"/>
        <v>113.61408853149534</v>
      </c>
      <c r="K35" s="27">
        <f t="shared" si="34"/>
        <v>4.0023184155986655</v>
      </c>
      <c r="L35" s="27">
        <f t="shared" si="35"/>
        <v>2.900521298812774</v>
      </c>
      <c r="M35" s="27">
        <f t="shared" si="56"/>
        <v>2.6073613949292946</v>
      </c>
      <c r="O35" s="25">
        <f t="shared" si="36"/>
        <v>0.013</v>
      </c>
      <c r="P35" s="25">
        <f t="shared" si="37"/>
        <v>0.09421233637385619</v>
      </c>
      <c r="Q35" s="25">
        <f t="shared" si="1"/>
        <v>0.22722211278069485</v>
      </c>
      <c r="S35" s="27">
        <f t="shared" si="57"/>
        <v>75.28782579247246</v>
      </c>
      <c r="T35" s="27">
        <f t="shared" si="2"/>
        <v>14.35240486381252</v>
      </c>
      <c r="U35" s="27">
        <f t="shared" si="3"/>
        <v>0.18153361557201433</v>
      </c>
      <c r="V35" s="27">
        <f t="shared" si="4"/>
        <v>0.45</v>
      </c>
      <c r="W35" s="27">
        <f t="shared" si="5"/>
        <v>152.13430249963508</v>
      </c>
      <c r="X35" s="27">
        <f t="shared" si="6"/>
        <v>17.898153235251193</v>
      </c>
      <c r="Y35" s="27">
        <f t="shared" si="7"/>
        <v>17.9743541298031</v>
      </c>
      <c r="AA35" s="24">
        <f t="shared" si="8"/>
        <v>0.9950505521289532</v>
      </c>
      <c r="AB35" s="23">
        <f t="shared" si="9"/>
        <v>0.6576154781006336</v>
      </c>
      <c r="AC35" s="23">
        <f>IF('DadosReais&amp;Graficos'!soilClass&gt;0,0.8-0.1*'DadosReais&amp;Graficos'!soilClass,IF('DadosReais&amp;Graficos'!soilClass&lt;0,SWconst0,999))</f>
        <v>0.6000000000000001</v>
      </c>
      <c r="AD35" s="23">
        <f>IF('DadosReais&amp;Graficos'!soilClass&gt;0,11-2*'DadosReais&amp;Graficos'!soilClass,SWpower0)</f>
        <v>7</v>
      </c>
      <c r="AE35" s="24">
        <f>1/(1+((1-CD35/'DadosReais&amp;Graficos'!MaxASW)/AC35)^AD35)</f>
        <v>0.027231297938041656</v>
      </c>
      <c r="AF35" s="24">
        <f t="shared" si="58"/>
        <v>0.6</v>
      </c>
      <c r="AG35" s="27">
        <f t="shared" si="10"/>
        <v>1</v>
      </c>
      <c r="AH35" s="27">
        <f t="shared" si="11"/>
        <v>1</v>
      </c>
      <c r="AI35" s="27">
        <f t="shared" si="38"/>
        <v>0.9989756316329111</v>
      </c>
      <c r="AJ35" s="24">
        <f t="shared" si="39"/>
        <v>0.027203403057839155</v>
      </c>
      <c r="AM35" s="27">
        <f t="shared" si="40"/>
        <v>418.26999282836914</v>
      </c>
      <c r="AN35" s="27">
        <f t="shared" si="12"/>
        <v>1</v>
      </c>
      <c r="AO35" s="27">
        <f t="shared" si="41"/>
        <v>0.765490844545111</v>
      </c>
      <c r="AP35" s="27">
        <f t="shared" si="59"/>
        <v>320.1818500580658</v>
      </c>
      <c r="AQ35" s="27">
        <f t="shared" si="60"/>
        <v>0.0014887818677869118</v>
      </c>
      <c r="AR35" s="27">
        <f t="shared" si="42"/>
        <v>0.08218075910183753</v>
      </c>
      <c r="AS35" s="27">
        <f t="shared" si="43"/>
        <v>1</v>
      </c>
      <c r="AT35" s="25">
        <f t="shared" si="44"/>
        <v>0.2631278748840257</v>
      </c>
      <c r="AU35" s="25">
        <f t="shared" si="13"/>
        <v>0.12367010119549209</v>
      </c>
      <c r="AW35" s="25">
        <f t="shared" si="14"/>
        <v>0.6</v>
      </c>
      <c r="AX35" s="25">
        <f t="shared" si="45"/>
        <v>0.10705134243445892</v>
      </c>
      <c r="AY35" s="25">
        <f t="shared" si="46"/>
        <v>0.4816562357952753</v>
      </c>
      <c r="AZ35" s="25">
        <f t="shared" si="61"/>
        <v>0.4682201667944884</v>
      </c>
      <c r="BA35" s="25">
        <f t="shared" si="62"/>
        <v>0.05012359741023631</v>
      </c>
      <c r="BB35" s="25">
        <f t="shared" si="15"/>
        <v>0.006198790364006029</v>
      </c>
      <c r="BC35" s="25">
        <f t="shared" si="16"/>
        <v>0.05956647542224149</v>
      </c>
      <c r="BD35" s="25">
        <f t="shared" si="17"/>
        <v>0.057904835409244564</v>
      </c>
      <c r="BG35" s="76">
        <f t="shared" si="47"/>
        <v>30590</v>
      </c>
      <c r="BH35" s="30">
        <f t="shared" si="18"/>
        <v>31</v>
      </c>
      <c r="BI35" s="27">
        <f>'PSP-1 Metdata'!D36</f>
        <v>16.850000381469727</v>
      </c>
      <c r="BJ35" s="28">
        <f>'PSP-1 Metdata'!E36</f>
        <v>23.600000381469727</v>
      </c>
      <c r="BK35" s="28">
        <f>'PSP-1 Metdata'!F36</f>
        <v>10.100000381469727</v>
      </c>
      <c r="BL35" s="28">
        <f>'PSP-1 Metdata'!G36</f>
        <v>15.2</v>
      </c>
      <c r="BM35" s="28">
        <f>'PSP-1 Metdata'!I36</f>
        <v>13.49258041381836</v>
      </c>
      <c r="BN35" s="28">
        <f>'PSP-1 Metdata'!J36</f>
        <v>4</v>
      </c>
      <c r="BO35" s="28">
        <f>'PSP-1 Metdata'!K36</f>
        <v>0</v>
      </c>
      <c r="BP35" s="25">
        <f>'PSP-1 Metdata'!L36</f>
        <v>29.12664203179622</v>
      </c>
      <c r="BQ35" s="25">
        <f>'PSP-1 Metdata'!M36</f>
        <v>12.361246101415844</v>
      </c>
      <c r="BR35" s="25">
        <f>'PSP-1 Metdata'!N36</f>
        <v>8.382697965190188</v>
      </c>
      <c r="BT35" s="25">
        <f t="shared" si="48"/>
        <v>39224.4387806368</v>
      </c>
      <c r="BU35" s="25">
        <f t="shared" si="19"/>
        <v>185.18722170687096</v>
      </c>
      <c r="BV35" s="25">
        <f t="shared" si="20"/>
        <v>0.2</v>
      </c>
      <c r="BW35" s="25">
        <f t="shared" si="21"/>
        <v>3078.368114519235</v>
      </c>
      <c r="BX35" s="25">
        <f t="shared" si="22"/>
        <v>0.00047389819801472077</v>
      </c>
      <c r="BY35" s="25">
        <f t="shared" si="49"/>
        <v>425.23156888515405</v>
      </c>
      <c r="BZ35" s="25">
        <f t="shared" si="23"/>
        <v>8.19736881580348</v>
      </c>
      <c r="CA35" s="27">
        <f t="shared" si="24"/>
        <v>0.1307061753161727</v>
      </c>
      <c r="CB35" s="139">
        <f t="shared" si="50"/>
        <v>4.0518914348013535</v>
      </c>
      <c r="CD35" s="27">
        <f>IF(CJ34&lt;'DadosReais&amp;Graficos'!MinASW,'DadosReais&amp;Graficos'!MinASW,IF(CJ34&gt;'DadosReais&amp;Graficos'!MaxASW,'DadosReais&amp;Graficos'!MaxASW,CJ34))</f>
        <v>0</v>
      </c>
      <c r="CE35" s="25">
        <f t="shared" si="25"/>
        <v>2.28</v>
      </c>
      <c r="CG35" s="27">
        <f t="shared" si="26"/>
        <v>15.2</v>
      </c>
      <c r="CH35" s="27">
        <f t="shared" si="51"/>
        <v>6.331891434801353</v>
      </c>
      <c r="CI35" s="27">
        <f>MAX(CG35-CH35-'DadosReais&amp;Graficos'!MaxASW,0)</f>
        <v>0</v>
      </c>
      <c r="CJ35" s="27">
        <f t="shared" si="63"/>
        <v>8.868108565198646</v>
      </c>
      <c r="CK35" s="27">
        <f>poolFractn*Month!CI35</f>
        <v>0</v>
      </c>
      <c r="CQ35" s="25">
        <f>SIN(PI()*'DadosReais&amp;Graficos'!Lat/180)</f>
        <v>0.6293203910498374</v>
      </c>
      <c r="CR35" s="25">
        <f>COS(PI()*'DadosReais&amp;Graficos'!Lat/180)</f>
        <v>0.7771459614569709</v>
      </c>
      <c r="CS35" s="25">
        <f t="shared" si="65"/>
        <v>1983</v>
      </c>
      <c r="CT35" s="29">
        <f t="shared" si="66"/>
        <v>30317</v>
      </c>
      <c r="CU35" s="30">
        <f t="shared" si="52"/>
        <v>10</v>
      </c>
      <c r="CV35" s="27">
        <f t="shared" si="27"/>
        <v>289</v>
      </c>
      <c r="CW35" s="25">
        <f t="shared" si="67"/>
        <v>-0.1751405350728837</v>
      </c>
      <c r="CX35" s="25">
        <f t="shared" si="28"/>
        <v>0.14405256542254885</v>
      </c>
      <c r="CY35" s="25">
        <f t="shared" si="68"/>
        <v>0.4539865599610741</v>
      </c>
      <c r="CZ35" s="25">
        <f t="shared" si="69"/>
        <v>39224.4387806368</v>
      </c>
    </row>
    <row r="36" spans="1:104" ht="12.75">
      <c r="A36" s="149">
        <f t="shared" si="29"/>
        <v>30617</v>
      </c>
      <c r="B36" s="60">
        <f t="shared" si="71"/>
        <v>8.58</v>
      </c>
      <c r="C36" s="78">
        <f t="shared" si="53"/>
        <v>8.58333333333333</v>
      </c>
      <c r="D36" s="171">
        <f t="shared" si="30"/>
        <v>560745.9374631542</v>
      </c>
      <c r="E36" s="30">
        <f t="shared" si="70"/>
        <v>1111</v>
      </c>
      <c r="F36" s="27">
        <f t="shared" si="54"/>
        <v>7.159089251979087</v>
      </c>
      <c r="G36" s="27">
        <f t="shared" si="31"/>
        <v>22.55455564071103</v>
      </c>
      <c r="H36" s="27">
        <f t="shared" si="32"/>
        <v>83.70267929084616</v>
      </c>
      <c r="I36" s="27">
        <f t="shared" si="33"/>
        <v>90.86176854282525</v>
      </c>
      <c r="J36" s="27">
        <f t="shared" si="55"/>
        <v>113.41632418353628</v>
      </c>
      <c r="K36" s="27">
        <f t="shared" si="34"/>
        <v>4.001979809239352</v>
      </c>
      <c r="L36" s="27">
        <f t="shared" si="35"/>
        <v>2.8650530638962763</v>
      </c>
      <c r="M36" s="27">
        <f t="shared" si="56"/>
        <v>2.7015737313031507</v>
      </c>
      <c r="O36" s="25">
        <f t="shared" si="36"/>
        <v>0.013</v>
      </c>
      <c r="P36" s="25">
        <f t="shared" si="37"/>
        <v>0.09306816027572813</v>
      </c>
      <c r="Q36" s="25">
        <f t="shared" si="1"/>
        <v>0.2255455564071103</v>
      </c>
      <c r="S36" s="27">
        <f t="shared" si="57"/>
        <v>75.33994535629718</v>
      </c>
      <c r="T36" s="27">
        <f t="shared" si="2"/>
        <v>14.35607553981873</v>
      </c>
      <c r="U36" s="27">
        <f t="shared" si="3"/>
        <v>0.18063591474827065</v>
      </c>
      <c r="V36" s="27">
        <f t="shared" si="4"/>
        <v>0.45</v>
      </c>
      <c r="W36" s="27">
        <f t="shared" si="5"/>
        <v>152.40659833391786</v>
      </c>
      <c r="X36" s="27">
        <f t="shared" si="6"/>
        <v>17.756108543757428</v>
      </c>
      <c r="Y36" s="27">
        <f t="shared" si="7"/>
        <v>17.983549309023523</v>
      </c>
      <c r="AA36" s="24">
        <f t="shared" si="8"/>
        <v>0.9985404542978092</v>
      </c>
      <c r="AB36" s="23">
        <f t="shared" si="9"/>
        <v>0.7891815777030149</v>
      </c>
      <c r="AC36" s="23">
        <f>IF('DadosReais&amp;Graficos'!soilClass&gt;0,0.8-0.1*'DadosReais&amp;Graficos'!soilClass,IF('DadosReais&amp;Graficos'!soilClass&lt;0,SWconst0,999))</f>
        <v>0.6000000000000001</v>
      </c>
      <c r="AD36" s="23">
        <f>IF('DadosReais&amp;Graficos'!soilClass&gt;0,11-2*'DadosReais&amp;Graficos'!soilClass,SWpower0)</f>
        <v>7</v>
      </c>
      <c r="AE36" s="24">
        <f>1/(1+((1-CD36/'DadosReais&amp;Graficos'!MaxASW)/AC36)^AD36)</f>
        <v>0.037029644038940095</v>
      </c>
      <c r="AF36" s="24">
        <f t="shared" si="58"/>
        <v>0.6</v>
      </c>
      <c r="AG36" s="27">
        <f t="shared" si="10"/>
        <v>1</v>
      </c>
      <c r="AH36" s="27">
        <f t="shared" si="11"/>
        <v>1</v>
      </c>
      <c r="AI36" s="27">
        <f t="shared" si="38"/>
        <v>0.9989349091186808</v>
      </c>
      <c r="AJ36" s="24">
        <f t="shared" si="39"/>
        <v>0.03699020410273572</v>
      </c>
      <c r="AM36" s="27">
        <f t="shared" si="40"/>
        <v>205.50999641418457</v>
      </c>
      <c r="AN36" s="27">
        <f t="shared" si="12"/>
        <v>1</v>
      </c>
      <c r="AO36" s="27">
        <f t="shared" si="41"/>
        <v>0.7612949362386742</v>
      </c>
      <c r="AP36" s="27">
        <f t="shared" si="59"/>
        <v>156.4537196165468</v>
      </c>
      <c r="AQ36" s="27">
        <f t="shared" si="60"/>
        <v>0.002031491836512293</v>
      </c>
      <c r="AR36" s="27">
        <f t="shared" si="42"/>
        <v>0.11213834937547856</v>
      </c>
      <c r="AS36" s="27">
        <f t="shared" si="43"/>
        <v>1</v>
      </c>
      <c r="AT36" s="25">
        <f t="shared" si="44"/>
        <v>0.1754446187145349</v>
      </c>
      <c r="AU36" s="25">
        <f t="shared" si="13"/>
        <v>0.0824589707958314</v>
      </c>
      <c r="AW36" s="25">
        <f t="shared" si="14"/>
        <v>0.6</v>
      </c>
      <c r="AX36" s="25">
        <f t="shared" si="45"/>
        <v>0.10703702945930137</v>
      </c>
      <c r="AY36" s="25">
        <f t="shared" si="46"/>
        <v>0.47538174511031656</v>
      </c>
      <c r="AZ36" s="25">
        <f t="shared" si="61"/>
        <v>0.47389404412778974</v>
      </c>
      <c r="BA36" s="25">
        <f t="shared" si="62"/>
        <v>0.05072421076189365</v>
      </c>
      <c r="BB36" s="25">
        <f t="shared" si="15"/>
        <v>0.004182666213856585</v>
      </c>
      <c r="BC36" s="25">
        <f t="shared" si="16"/>
        <v>0.03919948943692295</v>
      </c>
      <c r="BD36" s="25">
        <f t="shared" si="17"/>
        <v>0.039076815145051846</v>
      </c>
      <c r="BG36" s="76">
        <f t="shared" si="47"/>
        <v>30621</v>
      </c>
      <c r="BH36" s="30">
        <f t="shared" si="18"/>
        <v>30</v>
      </c>
      <c r="BI36" s="27">
        <f>'PSP-1 Metdata'!D37</f>
        <v>15.550000190734863</v>
      </c>
      <c r="BJ36" s="28">
        <f>'PSP-1 Metdata'!E37</f>
        <v>19.700000762939453</v>
      </c>
      <c r="BK36" s="28">
        <f>'PSP-1 Metdata'!F37</f>
        <v>11.399999618530273</v>
      </c>
      <c r="BL36" s="28">
        <f>'PSP-1 Metdata'!G37</f>
        <v>126.8</v>
      </c>
      <c r="BM36" s="28">
        <f>'PSP-1 Metdata'!I37</f>
        <v>6.850333213806152</v>
      </c>
      <c r="BN36" s="28">
        <f>'PSP-1 Metdata'!J37</f>
        <v>15</v>
      </c>
      <c r="BO36" s="28">
        <f>'PSP-1 Metdata'!K37</f>
        <v>0</v>
      </c>
      <c r="BP36" s="25">
        <f>'PSP-1 Metdata'!L37</f>
        <v>22.949574018262</v>
      </c>
      <c r="BQ36" s="25">
        <f>'PSP-1 Metdata'!M37</f>
        <v>13.479220093946639</v>
      </c>
      <c r="BR36" s="25">
        <f>'PSP-1 Metdata'!N37</f>
        <v>4.73517696215768</v>
      </c>
      <c r="BT36" s="25">
        <f t="shared" si="48"/>
        <v>35312.835538885876</v>
      </c>
      <c r="BU36" s="25">
        <f t="shared" si="19"/>
        <v>65.19191499108445</v>
      </c>
      <c r="BV36" s="25">
        <f t="shared" si="20"/>
        <v>0.2</v>
      </c>
      <c r="BW36" s="25">
        <f t="shared" si="21"/>
        <v>1738.8933536008103</v>
      </c>
      <c r="BX36" s="25">
        <f t="shared" si="22"/>
        <v>0.0006365098954876371</v>
      </c>
      <c r="BY36" s="25">
        <f t="shared" si="49"/>
        <v>317.4134967859028</v>
      </c>
      <c r="BZ36" s="25">
        <f t="shared" si="23"/>
        <v>5.93016864639133</v>
      </c>
      <c r="CA36" s="27">
        <f t="shared" si="24"/>
        <v>0.08512645127149371</v>
      </c>
      <c r="CB36" s="139">
        <f t="shared" si="50"/>
        <v>2.553793538144811</v>
      </c>
      <c r="CD36" s="27">
        <f>IF(CJ35&lt;'DadosReais&amp;Graficos'!MinASW,'DadosReais&amp;Graficos'!MinASW,IF(CJ35&gt;'DadosReais&amp;Graficos'!MaxASW,'DadosReais&amp;Graficos'!MaxASW,CJ35))</f>
        <v>8.868108565198646</v>
      </c>
      <c r="CE36" s="25">
        <f t="shared" si="25"/>
        <v>19.02</v>
      </c>
      <c r="CG36" s="27">
        <f t="shared" si="26"/>
        <v>135.66810856519865</v>
      </c>
      <c r="CH36" s="27">
        <f t="shared" si="51"/>
        <v>21.573793538144812</v>
      </c>
      <c r="CI36" s="27">
        <f>MAX(CG36-CH36-'DadosReais&amp;Graficos'!MaxASW,0)</f>
        <v>0</v>
      </c>
      <c r="CJ36" s="27">
        <f t="shared" si="63"/>
        <v>114.09431502705384</v>
      </c>
      <c r="CK36" s="27">
        <f>poolFractn*Month!CI36</f>
        <v>0</v>
      </c>
      <c r="CQ36" s="25">
        <f>SIN(PI()*'DadosReais&amp;Graficos'!Lat/180)</f>
        <v>0.6293203910498374</v>
      </c>
      <c r="CR36" s="25">
        <f>COS(PI()*'DadosReais&amp;Graficos'!Lat/180)</f>
        <v>0.7771459614569709</v>
      </c>
      <c r="CS36" s="25">
        <f t="shared" si="65"/>
        <v>1983</v>
      </c>
      <c r="CT36" s="29">
        <f t="shared" si="66"/>
        <v>30317</v>
      </c>
      <c r="CU36" s="30">
        <f t="shared" si="52"/>
        <v>11</v>
      </c>
      <c r="CV36" s="27">
        <f t="shared" si="27"/>
        <v>319</v>
      </c>
      <c r="CW36" s="25">
        <f t="shared" si="67"/>
        <v>-0.3297749470179898</v>
      </c>
      <c r="CX36" s="25">
        <f t="shared" si="28"/>
        <v>0.2828703751751745</v>
      </c>
      <c r="CY36" s="25">
        <f t="shared" si="68"/>
        <v>0.40871337429266064</v>
      </c>
      <c r="CZ36" s="25">
        <f t="shared" si="69"/>
        <v>35312.835538885876</v>
      </c>
    </row>
    <row r="37" spans="1:104" ht="12.75">
      <c r="A37" s="149">
        <f t="shared" si="29"/>
        <v>30648</v>
      </c>
      <c r="B37" s="60">
        <f t="shared" si="71"/>
        <v>8.67</v>
      </c>
      <c r="C37" s="78">
        <f t="shared" si="53"/>
        <v>8.666666666666664</v>
      </c>
      <c r="D37" s="171">
        <f t="shared" si="30"/>
        <v>562560.5053470455</v>
      </c>
      <c r="E37" s="30">
        <f t="shared" si="70"/>
        <v>1111</v>
      </c>
      <c r="F37" s="27">
        <f t="shared" si="54"/>
        <v>7.0702037579172154</v>
      </c>
      <c r="G37" s="27">
        <f t="shared" si="31"/>
        <v>22.36820957374084</v>
      </c>
      <c r="H37" s="27">
        <f t="shared" si="32"/>
        <v>83.74175610599121</v>
      </c>
      <c r="I37" s="27">
        <f t="shared" si="33"/>
        <v>90.81195986390843</v>
      </c>
      <c r="J37" s="27">
        <f t="shared" si="55"/>
        <v>113.18016943764927</v>
      </c>
      <c r="K37" s="27">
        <f aca="true" t="shared" si="72" ref="K37:K67">SLA1+(SLA0-SLA1)*EXP(-LN(2)*(C37/tSLA)^2)</f>
        <v>4.001688054436516</v>
      </c>
      <c r="L37" s="27">
        <f aca="true" t="shared" si="73" ref="L37:L67">0.1*F37*K37</f>
        <v>2.829274992048949</v>
      </c>
      <c r="M37" s="27">
        <f t="shared" si="56"/>
        <v>2.7946418915788787</v>
      </c>
      <c r="O37" s="25">
        <f aca="true" t="shared" si="74" ref="O37:O100">gammaFx*gammaF0/(gammaF0+(gammaFx-gammaF0)*EXP(-12*LN(1+gammaFx/gammaF0)*C37/tgammaF))</f>
        <v>0.013</v>
      </c>
      <c r="P37" s="25">
        <f aca="true" t="shared" si="75" ref="P37:P67">O37*F37</f>
        <v>0.0919126488529238</v>
      </c>
      <c r="Q37" s="25">
        <f aca="true" t="shared" si="76" ref="Q37:Q67">Rttover*G37</f>
        <v>0.2236820957374084</v>
      </c>
      <c r="S37" s="27">
        <f t="shared" si="57"/>
        <v>75.37511800719281</v>
      </c>
      <c r="T37" s="27">
        <f aca="true" t="shared" si="77" ref="T37:T100">(S37/StemConst)^(1/StemPower)</f>
        <v>14.35855177415912</v>
      </c>
      <c r="U37" s="27">
        <f aca="true" t="shared" si="78" ref="U37:U67">fracBB1+(fracBB0-fracBB1)*EXP(-LN(2)*(C37/tBB))</f>
        <v>0.17976376972440375</v>
      </c>
      <c r="V37" s="27">
        <f aca="true" t="shared" si="79" ref="V37:V67">rhoMax+(rhoMin-rhoMax)*EXP(-LN(2)*(C37/tRho))</f>
        <v>0.45</v>
      </c>
      <c r="W37" s="27">
        <f aca="true" t="shared" si="80" ref="W37:W68">H37*(1-U37)/V37</f>
        <v>152.64004965563694</v>
      </c>
      <c r="X37" s="27">
        <f aca="true" t="shared" si="81" ref="X37:X68">W37/C37</f>
        <v>17.612313421804267</v>
      </c>
      <c r="Y37" s="27">
        <f aca="true" t="shared" si="82" ref="Y37:Y68">PI()/4*(T37/100)^2*E37</f>
        <v>17.98975369584014</v>
      </c>
      <c r="AA37" s="24">
        <f aca="true" t="shared" si="83" ref="AA37:AA68">IF(OR(BI37&lt;=Tmin,BI37&gt;=Tmax),0,(BI37-Tmin)/(Topt-Tmin)*((Tmax-BI37)/(Tmax-Topt))^((Tmax-Topt)/(Topt-Tmin)))</f>
        <v>0.7827966561113577</v>
      </c>
      <c r="AB37" s="23">
        <f aca="true" t="shared" si="84" ref="AB37:AB67">EXP(-CoeffCond*BR37)</f>
        <v>0.7615331716723143</v>
      </c>
      <c r="AC37" s="23">
        <f>IF('DadosReais&amp;Graficos'!soilClass&gt;0,0.8-0.1*'DadosReais&amp;Graficos'!soilClass,IF('DadosReais&amp;Graficos'!soilClass&lt;0,SWconst0,999))</f>
        <v>0.6000000000000001</v>
      </c>
      <c r="AD37" s="23">
        <f>IF('DadosReais&amp;Graficos'!soilClass&gt;0,11-2*'DadosReais&amp;Graficos'!soilClass,SWpower0)</f>
        <v>7</v>
      </c>
      <c r="AE37" s="24">
        <f>1/(1+((1-CD37/'DadosReais&amp;Graficos'!MaxASW)/AC37)^AD37)</f>
        <v>0.912111409182088</v>
      </c>
      <c r="AF37" s="24">
        <f t="shared" si="58"/>
        <v>0.6</v>
      </c>
      <c r="AG37" s="27">
        <f aca="true" t="shared" si="85" ref="AG37:AG100">fN0+(1-fN0)*AF37</f>
        <v>1</v>
      </c>
      <c r="AH37" s="27">
        <f aca="true" t="shared" si="86" ref="AH37:AH67">1-kF*(BO37/30)</f>
        <v>0.8</v>
      </c>
      <c r="AI37" s="27">
        <f aca="true" t="shared" si="87" ref="AI37:AI67">(1/(1+((C37/MaxAge)/rAge)^nAge))</f>
        <v>0.9988929865478064</v>
      </c>
      <c r="AJ37" s="24">
        <f t="shared" si="39"/>
        <v>0.7606901442069814</v>
      </c>
      <c r="AM37" s="27">
        <f t="shared" si="40"/>
        <v>232.32000017166138</v>
      </c>
      <c r="AN37" s="27">
        <f aca="true" t="shared" si="88" ref="AN37:AN67">IF(AND(fullCanAge&gt;0,C37&lt;fullCanAge),C37/fullCanAge,1)</f>
        <v>1</v>
      </c>
      <c r="AO37" s="27">
        <f aca="true" t="shared" si="89" ref="AO37:AO67">(1-(EXP(-k*L37)))</f>
        <v>0.7569863090873745</v>
      </c>
      <c r="AP37" s="27">
        <f t="shared" si="59"/>
        <v>175.86305945712417</v>
      </c>
      <c r="AQ37" s="27">
        <f aca="true" t="shared" si="90" ref="AQ37:AQ67">alpha*AG37*AA37*AH37*AJ37</f>
        <v>0.026200490853772032</v>
      </c>
      <c r="AR37" s="27">
        <f aca="true" t="shared" si="91" ref="AR37:AR100">gDM_mol*molPAR_MJ*AQ37</f>
        <v>1.4462670951282162</v>
      </c>
      <c r="AS37" s="27">
        <f t="shared" si="43"/>
        <v>1</v>
      </c>
      <c r="AT37" s="25">
        <f t="shared" si="44"/>
        <v>2.5434495614141572</v>
      </c>
      <c r="AU37" s="25">
        <f aca="true" t="shared" si="92" ref="AU37:AU100">AT37*Y</f>
        <v>1.1954212938646538</v>
      </c>
      <c r="AW37" s="25">
        <f aca="true" t="shared" si="93" ref="AW37:AW100">m0+(1-m0)*AF37</f>
        <v>0.6</v>
      </c>
      <c r="AX37" s="25">
        <f aca="true" t="shared" si="94" ref="AX37:AX67">pfsConst*T37^pfsPower</f>
        <v>0.10702737708824993</v>
      </c>
      <c r="AY37" s="25">
        <f aca="true" t="shared" si="95" ref="AY37:AY68">pRx*pRn/(pRn+(pRx-pRn)*AJ37*AW37)</f>
        <v>0.24213471365411218</v>
      </c>
      <c r="AZ37" s="25">
        <f t="shared" si="61"/>
        <v>0.6845948908140438</v>
      </c>
      <c r="BA37" s="25">
        <f t="shared" si="62"/>
        <v>0.073270395531844</v>
      </c>
      <c r="BB37" s="25">
        <f aca="true" t="shared" si="96" ref="BB37:BB68">AU37*BA37</f>
        <v>0.0875889910286519</v>
      </c>
      <c r="BC37" s="25">
        <f aca="true" t="shared" si="97" ref="BC37:BC68">AU37*AY37</f>
        <v>0.28945299268594626</v>
      </c>
      <c r="BD37" s="25">
        <f aca="true" t="shared" si="98" ref="BD37:BD68">AU37*AZ37</f>
        <v>0.8183793101500556</v>
      </c>
      <c r="BG37" s="76">
        <f t="shared" si="47"/>
        <v>30651</v>
      </c>
      <c r="BH37" s="30">
        <f aca="true" t="shared" si="99" ref="BH37:BH68">IF((BG38-BG37)=29,28,(BG38-BG37))</f>
        <v>31</v>
      </c>
      <c r="BI37" s="27">
        <f>'PSP-1 Metdata'!D38</f>
        <v>10.950000286102295</v>
      </c>
      <c r="BJ37" s="28">
        <f>'PSP-1 Metdata'!E38</f>
        <v>17.100000381469727</v>
      </c>
      <c r="BK37" s="28">
        <f>'PSP-1 Metdata'!F38</f>
        <v>4.800000190734863</v>
      </c>
      <c r="BL37" s="28">
        <f>'PSP-1 Metdata'!G38</f>
        <v>113.68000488281251</v>
      </c>
      <c r="BM37" s="28">
        <f>'PSP-1 Metdata'!I38</f>
        <v>7.4941935539245605</v>
      </c>
      <c r="BN37" s="28">
        <f>'PSP-1 Metdata'!J38</f>
        <v>10</v>
      </c>
      <c r="BO37" s="28">
        <f>'PSP-1 Metdata'!K38</f>
        <v>6</v>
      </c>
      <c r="BP37" s="25">
        <f>'PSP-1 Metdata'!L38</f>
        <v>19.498483907266383</v>
      </c>
      <c r="BQ37" s="25">
        <f>'PSP-1 Metdata'!M38</f>
        <v>8.601622041906449</v>
      </c>
      <c r="BR37" s="25">
        <f>'PSP-1 Metdata'!N38</f>
        <v>5.448430932679967</v>
      </c>
      <c r="BT37" s="25">
        <f t="shared" si="48"/>
        <v>33294.53956575766</v>
      </c>
      <c r="BU37" s="25">
        <f aca="true" t="shared" si="100" ref="BU37:BU68">Qa+Qb*(BM37*10^6/BT37)</f>
        <v>90.07021335431455</v>
      </c>
      <c r="BV37" s="25">
        <f aca="true" t="shared" si="101" ref="BV37:BV100">BLcond</f>
        <v>0.2</v>
      </c>
      <c r="BW37" s="25">
        <f aca="true" t="shared" si="102" ref="BW37:BW68">rhoAir*lambda*(VPDconv*BR37)*BV37</f>
        <v>2000.8207532909453</v>
      </c>
      <c r="BX37" s="25">
        <f aca="true" t="shared" si="103" ref="BX37:BX68">IF(MaxCond*AJ37*MIN(1,L37/LAIgcx)=0,0.0001,MaxCond*AJ37*MIN(1,L37/LAIgcx))</f>
        <v>0.012926135745963492</v>
      </c>
      <c r="BY37" s="25">
        <f aca="true" t="shared" si="104" ref="BY37:BY67">(1+e_20+BV37/BX37)</f>
        <v>18.672528211879175</v>
      </c>
      <c r="BZ37" s="25">
        <f aca="true" t="shared" si="105" ref="BZ37:BZ67">(e_20*BU37+BW37)/BY37</f>
        <v>117.76526444188114</v>
      </c>
      <c r="CA37" s="27">
        <f aca="true" t="shared" si="106" ref="CA37:CA67">BZ37/lambda*BT37</f>
        <v>1.5938781530211892</v>
      </c>
      <c r="CB37" s="139">
        <f t="shared" si="50"/>
        <v>49.41022274365687</v>
      </c>
      <c r="CD37" s="27">
        <f>IF(CJ36&lt;'DadosReais&amp;Graficos'!MinASW,'DadosReais&amp;Graficos'!MinASW,IF(CJ36&gt;'DadosReais&amp;Graficos'!MaxASW,'DadosReais&amp;Graficos'!MaxASW,CJ36))</f>
        <v>114.09431502705384</v>
      </c>
      <c r="CE37" s="25">
        <f aca="true" t="shared" si="107" ref="CE37:CE68">IF(LAImaxIntcptn&lt;=0,BL37*MaxIntcptn,BL37*MaxIntcptn*MIN(1,L37/LAImaxIntcptn))</f>
        <v>17.052000732421877</v>
      </c>
      <c r="CG37" s="27">
        <f aca="true" t="shared" si="108" ref="CG37:CG68">CD37+BL37+CF37+CK36</f>
        <v>227.77431990986634</v>
      </c>
      <c r="CH37" s="27">
        <f t="shared" si="51"/>
        <v>66.46222347607875</v>
      </c>
      <c r="CI37" s="27">
        <f>MAX(CG37-CH37-'DadosReais&amp;Graficos'!MaxASW,0)</f>
        <v>0</v>
      </c>
      <c r="CJ37" s="27">
        <f t="shared" si="63"/>
        <v>161.3120964337876</v>
      </c>
      <c r="CK37" s="27">
        <f>poolFractn*Month!CI37</f>
        <v>0</v>
      </c>
      <c r="CQ37" s="25">
        <f>SIN(PI()*'DadosReais&amp;Graficos'!Lat/180)</f>
        <v>0.6293203910498374</v>
      </c>
      <c r="CR37" s="25">
        <f>COS(PI()*'DadosReais&amp;Graficos'!Lat/180)</f>
        <v>0.7771459614569709</v>
      </c>
      <c r="CS37" s="25">
        <f t="shared" si="65"/>
        <v>1983</v>
      </c>
      <c r="CT37" s="29">
        <f t="shared" si="66"/>
        <v>30317</v>
      </c>
      <c r="CU37" s="30">
        <f t="shared" si="52"/>
        <v>12</v>
      </c>
      <c r="CV37" s="27">
        <f aca="true" t="shared" si="109" ref="CV37:CV68">LOOKUP(CU37,CM$5:CM$16,CO$5:CO$16)</f>
        <v>350</v>
      </c>
      <c r="CW37" s="25">
        <f t="shared" si="67"/>
        <v>-0.39906495399591085</v>
      </c>
      <c r="CX37" s="25">
        <f aca="true" t="shared" si="110" ref="CX37:CX67">-CW37*CQ37/(CR37*SQRT(1-(CW37)^2))</f>
        <v>0.352435862283474</v>
      </c>
      <c r="CY37" s="25">
        <f t="shared" si="68"/>
        <v>0.3853534671962692</v>
      </c>
      <c r="CZ37" s="25">
        <f t="shared" si="69"/>
        <v>33294.53956575766</v>
      </c>
    </row>
    <row r="38" spans="1:104" ht="12.75">
      <c r="A38" s="149">
        <f aca="true" t="shared" si="111" ref="A38:A69">EDATE(A37,1)</f>
        <v>30678</v>
      </c>
      <c r="B38" s="60">
        <f t="shared" si="71"/>
        <v>8.75</v>
      </c>
      <c r="C38" s="78">
        <f t="shared" si="53"/>
        <v>8.749999999999998</v>
      </c>
      <c r="D38" s="171">
        <f t="shared" si="30"/>
        <v>555848.669260959</v>
      </c>
      <c r="E38" s="30">
        <f t="shared" si="70"/>
        <v>1111</v>
      </c>
      <c r="F38" s="27">
        <f aca="true" t="shared" si="112" ref="F38:F69">F37+BB37-P37</f>
        <v>7.065880100092944</v>
      </c>
      <c r="G38" s="27">
        <f aca="true" t="shared" si="113" ref="G38:G69">G37+BC37-Q37</f>
        <v>22.433980470689377</v>
      </c>
      <c r="H38" s="27">
        <f aca="true" t="shared" si="114" ref="H38:H69">H37+BD37</f>
        <v>84.56013541614126</v>
      </c>
      <c r="I38" s="27">
        <f t="shared" si="33"/>
        <v>91.6260155162342</v>
      </c>
      <c r="J38" s="27">
        <f t="shared" si="55"/>
        <v>114.05999598692358</v>
      </c>
      <c r="K38" s="27">
        <f t="shared" si="72"/>
        <v>4.0014370788346625</v>
      </c>
      <c r="L38" s="27">
        <f t="shared" si="73"/>
        <v>2.827367462711188</v>
      </c>
      <c r="M38" s="27">
        <f aca="true" t="shared" si="115" ref="M38:M67">M37+P37</f>
        <v>2.8865545404318023</v>
      </c>
      <c r="O38" s="25">
        <f t="shared" si="74"/>
        <v>0.013</v>
      </c>
      <c r="P38" s="25">
        <f t="shared" si="75"/>
        <v>0.09185644130120826</v>
      </c>
      <c r="Q38" s="25">
        <f t="shared" si="76"/>
        <v>0.22433980470689377</v>
      </c>
      <c r="S38" s="27">
        <f t="shared" si="57"/>
        <v>76.11173304783192</v>
      </c>
      <c r="T38" s="27">
        <f t="shared" si="77"/>
        <v>14.410244615313696</v>
      </c>
      <c r="U38" s="27">
        <f t="shared" si="78"/>
        <v>0.1789164529763989</v>
      </c>
      <c r="V38" s="27">
        <f t="shared" si="79"/>
        <v>0.45</v>
      </c>
      <c r="W38" s="27">
        <f t="shared" si="80"/>
        <v>154.2909687206251</v>
      </c>
      <c r="X38" s="27">
        <f t="shared" si="81"/>
        <v>17.633253568071442</v>
      </c>
      <c r="Y38" s="27">
        <f t="shared" si="82"/>
        <v>18.119518237009142</v>
      </c>
      <c r="AA38" s="24">
        <f t="shared" si="83"/>
        <v>0.6285370479681381</v>
      </c>
      <c r="AB38" s="23">
        <f t="shared" si="84"/>
        <v>0.8283801953754946</v>
      </c>
      <c r="AC38" s="23">
        <f>IF('DadosReais&amp;Graficos'!soilClass&gt;0,0.8-0.1*'DadosReais&amp;Graficos'!soilClass,IF('DadosReais&amp;Graficos'!soilClass&lt;0,SWconst0,999))</f>
        <v>0.6000000000000001</v>
      </c>
      <c r="AD38" s="23">
        <f>IF('DadosReais&amp;Graficos'!soilClass&gt;0,11-2*'DadosReais&amp;Graficos'!soilClass,SWpower0)</f>
        <v>7</v>
      </c>
      <c r="AE38" s="24">
        <f>1/(1+((1-CD38/'DadosReais&amp;Graficos'!MaxASW)/AC38)^AD38)</f>
        <v>0.9996380901108329</v>
      </c>
      <c r="AF38" s="24">
        <f t="shared" si="58"/>
        <v>0.6</v>
      </c>
      <c r="AG38" s="27">
        <f t="shared" si="85"/>
        <v>1</v>
      </c>
      <c r="AH38" s="27">
        <f t="shared" si="86"/>
        <v>0.8</v>
      </c>
      <c r="AI38" s="27">
        <f t="shared" si="87"/>
        <v>0.9988498407453377</v>
      </c>
      <c r="AJ38" s="24">
        <f t="shared" si="39"/>
        <v>0.8274274262274045</v>
      </c>
      <c r="AM38" s="27">
        <f t="shared" si="40"/>
        <v>227.9499969482422</v>
      </c>
      <c r="AN38" s="27">
        <f t="shared" si="88"/>
        <v>1</v>
      </c>
      <c r="AO38" s="27">
        <f t="shared" si="89"/>
        <v>0.7567544206490064</v>
      </c>
      <c r="AP38" s="27">
        <f t="shared" si="59"/>
        <v>172.5021678775098</v>
      </c>
      <c r="AQ38" s="27">
        <f t="shared" si="90"/>
        <v>0.02288302684310928</v>
      </c>
      <c r="AR38" s="27">
        <f t="shared" si="91"/>
        <v>1.2631430817396323</v>
      </c>
      <c r="AS38" s="27">
        <f t="shared" si="43"/>
        <v>1</v>
      </c>
      <c r="AT38" s="25">
        <f t="shared" si="44"/>
        <v>2.1789491993956513</v>
      </c>
      <c r="AU38" s="25">
        <f t="shared" si="92"/>
        <v>1.024106123715956</v>
      </c>
      <c r="AW38" s="25">
        <f t="shared" si="93"/>
        <v>0.6</v>
      </c>
      <c r="AX38" s="25">
        <f t="shared" si="94"/>
        <v>0.1068264552811811</v>
      </c>
      <c r="AY38" s="25">
        <f t="shared" si="95"/>
        <v>0.2316532484272603</v>
      </c>
      <c r="AZ38" s="25">
        <f t="shared" si="61"/>
        <v>0.6941890012717006</v>
      </c>
      <c r="BA38" s="25">
        <f t="shared" si="62"/>
        <v>0.0741577503010391</v>
      </c>
      <c r="BB38" s="25">
        <f t="shared" si="96"/>
        <v>0.07594540620429294</v>
      </c>
      <c r="BC38" s="25">
        <f t="shared" si="97"/>
        <v>0.23723751029305093</v>
      </c>
      <c r="BD38" s="25">
        <f t="shared" si="98"/>
        <v>0.7109232072186122</v>
      </c>
      <c r="BG38" s="76">
        <f aca="true" t="shared" si="116" ref="BG38:BG69">EDATE(BG37,1)</f>
        <v>30682</v>
      </c>
      <c r="BH38" s="30">
        <f t="shared" si="99"/>
        <v>31</v>
      </c>
      <c r="BI38" s="27">
        <f>'PSP-1 Metdata'!D39</f>
        <v>9.549999952316284</v>
      </c>
      <c r="BJ38" s="28">
        <f>'PSP-1 Metdata'!E39</f>
        <v>14.199999809265137</v>
      </c>
      <c r="BK38" s="28">
        <f>'PSP-1 Metdata'!F39</f>
        <v>4.900000095367432</v>
      </c>
      <c r="BL38" s="28">
        <f>'PSP-1 Metdata'!G39</f>
        <v>76.95999755859376</v>
      </c>
      <c r="BM38" s="28">
        <f>'PSP-1 Metdata'!I39</f>
        <v>7.3532257080078125</v>
      </c>
      <c r="BN38" s="28">
        <f>'PSP-1 Metdata'!J39</f>
        <v>18</v>
      </c>
      <c r="BO38" s="28">
        <f>'PSP-1 Metdata'!K39</f>
        <v>6</v>
      </c>
      <c r="BP38" s="25">
        <f>'PSP-1 Metdata'!L39</f>
        <v>16.19326890763327</v>
      </c>
      <c r="BQ38" s="25">
        <f>'PSP-1 Metdata'!M39</f>
        <v>8.66194663460116</v>
      </c>
      <c r="BR38" s="25">
        <f>'PSP-1 Metdata'!N39</f>
        <v>3.765661136516056</v>
      </c>
      <c r="BT38" s="25">
        <f t="shared" si="48"/>
        <v>34557.10261977032</v>
      </c>
      <c r="BU38" s="25">
        <f t="shared" si="100"/>
        <v>80.22782931578274</v>
      </c>
      <c r="BV38" s="25">
        <f t="shared" si="101"/>
        <v>0.2</v>
      </c>
      <c r="BW38" s="25">
        <f t="shared" si="102"/>
        <v>1382.8592203694275</v>
      </c>
      <c r="BX38" s="25">
        <f t="shared" si="103"/>
        <v>0.014050698995016368</v>
      </c>
      <c r="BY38" s="25">
        <f t="shared" si="104"/>
        <v>17.434167287402417</v>
      </c>
      <c r="BZ38" s="25">
        <f t="shared" si="105"/>
        <v>89.44278319452128</v>
      </c>
      <c r="CA38" s="27">
        <f t="shared" si="106"/>
        <v>1.256456681890626</v>
      </c>
      <c r="CB38" s="139">
        <f t="shared" si="50"/>
        <v>38.950157138609406</v>
      </c>
      <c r="CD38" s="27">
        <f>IF(CJ37&lt;'DadosReais&amp;Graficos'!MinASW,'DadosReais&amp;Graficos'!MinASW,IF(CJ37&gt;'DadosReais&amp;Graficos'!MaxASW,'DadosReais&amp;Graficos'!MaxASW,CJ37))</f>
        <v>161.3120964337876</v>
      </c>
      <c r="CE38" s="25">
        <f t="shared" si="107"/>
        <v>11.543999633789063</v>
      </c>
      <c r="CG38" s="27">
        <f t="shared" si="108"/>
        <v>238.27209399238134</v>
      </c>
      <c r="CH38" s="27">
        <f t="shared" si="51"/>
        <v>50.49415677239847</v>
      </c>
      <c r="CI38" s="27">
        <f>MAX(CG38-CH38-'DadosReais&amp;Graficos'!MaxASW,0)</f>
        <v>0</v>
      </c>
      <c r="CJ38" s="27">
        <f t="shared" si="63"/>
        <v>187.77793721998287</v>
      </c>
      <c r="CK38" s="27">
        <f>poolFractn*Month!CI38</f>
        <v>0</v>
      </c>
      <c r="CQ38" s="25">
        <f>SIN(PI()*'DadosReais&amp;Graficos'!Lat/180)</f>
        <v>0.6293203910498374</v>
      </c>
      <c r="CR38" s="25">
        <f>COS(PI()*'DadosReais&amp;Graficos'!Lat/180)</f>
        <v>0.7771459614569709</v>
      </c>
      <c r="CS38" s="25">
        <f t="shared" si="65"/>
        <v>1983</v>
      </c>
      <c r="CT38" s="29">
        <f t="shared" si="66"/>
        <v>30317</v>
      </c>
      <c r="CU38" s="30">
        <f t="shared" si="52"/>
        <v>1</v>
      </c>
      <c r="CV38" s="27">
        <f t="shared" si="109"/>
        <v>16</v>
      </c>
      <c r="CW38" s="25">
        <f t="shared" si="67"/>
        <v>-0.3566279806934116</v>
      </c>
      <c r="CX38" s="25">
        <f t="shared" si="110"/>
        <v>0.30911718809788097</v>
      </c>
      <c r="CY38" s="25">
        <f t="shared" si="68"/>
        <v>0.39996646550660087</v>
      </c>
      <c r="CZ38" s="25">
        <f t="shared" si="69"/>
        <v>34557.10261977032</v>
      </c>
    </row>
    <row r="39" spans="1:104" ht="12.75">
      <c r="A39" s="149">
        <f t="shared" si="111"/>
        <v>30709</v>
      </c>
      <c r="B39" s="60">
        <f t="shared" si="71"/>
        <v>8.83</v>
      </c>
      <c r="C39" s="78">
        <f t="shared" si="53"/>
        <v>8.833333333333332</v>
      </c>
      <c r="D39" s="171">
        <f t="shared" si="30"/>
        <v>550543.3954770602</v>
      </c>
      <c r="E39" s="30">
        <f t="shared" si="70"/>
        <v>1111</v>
      </c>
      <c r="F39" s="27">
        <f t="shared" si="112"/>
        <v>7.049969064996029</v>
      </c>
      <c r="G39" s="27">
        <f t="shared" si="113"/>
        <v>22.446878176275536</v>
      </c>
      <c r="H39" s="27">
        <f t="shared" si="114"/>
        <v>85.27105862335988</v>
      </c>
      <c r="I39" s="27">
        <f t="shared" si="33"/>
        <v>92.32102768835591</v>
      </c>
      <c r="J39" s="27">
        <f t="shared" si="55"/>
        <v>114.76790586463144</v>
      </c>
      <c r="K39" s="27">
        <f t="shared" si="72"/>
        <v>4.001221534628548</v>
      </c>
      <c r="L39" s="27">
        <f t="shared" si="73"/>
        <v>2.8208488041327198</v>
      </c>
      <c r="M39" s="27">
        <f t="shared" si="115"/>
        <v>2.9784109817330107</v>
      </c>
      <c r="O39" s="25">
        <f t="shared" si="74"/>
        <v>0.013</v>
      </c>
      <c r="P39" s="25">
        <f t="shared" si="75"/>
        <v>0.09164959784494837</v>
      </c>
      <c r="Q39" s="25">
        <f t="shared" si="76"/>
        <v>0.22446878176275536</v>
      </c>
      <c r="S39" s="27">
        <f t="shared" si="57"/>
        <v>76.75162792381627</v>
      </c>
      <c r="T39" s="27">
        <f t="shared" si="77"/>
        <v>14.454894586742343</v>
      </c>
      <c r="U39" s="27">
        <f t="shared" si="78"/>
        <v>0.1780932576914378</v>
      </c>
      <c r="V39" s="27">
        <f t="shared" si="79"/>
        <v>0.45</v>
      </c>
      <c r="W39" s="27">
        <f t="shared" si="80"/>
        <v>155.74412890295145</v>
      </c>
      <c r="X39" s="27">
        <f t="shared" si="81"/>
        <v>17.631410819202053</v>
      </c>
      <c r="Y39" s="27">
        <f t="shared" si="82"/>
        <v>18.231978418967</v>
      </c>
      <c r="AA39" s="24">
        <f t="shared" si="83"/>
        <v>0.554475489591401</v>
      </c>
      <c r="AB39" s="23">
        <f t="shared" si="84"/>
        <v>0.7955665505729955</v>
      </c>
      <c r="AC39" s="23">
        <f>IF('DadosReais&amp;Graficos'!soilClass&gt;0,0.8-0.1*'DadosReais&amp;Graficos'!soilClass,IF('DadosReais&amp;Graficos'!soilClass&lt;0,SWconst0,999))</f>
        <v>0.6000000000000001</v>
      </c>
      <c r="AD39" s="23">
        <f>IF('DadosReais&amp;Graficos'!soilClass&gt;0,11-2*'DadosReais&amp;Graficos'!soilClass,SWpower0)</f>
        <v>7</v>
      </c>
      <c r="AE39" s="24">
        <f>1/(1+((1-CD39/'DadosReais&amp;Graficos'!MaxASW)/AC39)^AD39)</f>
        <v>0.9999998863046247</v>
      </c>
      <c r="AF39" s="24">
        <f t="shared" si="58"/>
        <v>0.6</v>
      </c>
      <c r="AG39" s="27">
        <f t="shared" si="85"/>
        <v>1</v>
      </c>
      <c r="AH39" s="27">
        <f t="shared" si="86"/>
        <v>0.6666666666666667</v>
      </c>
      <c r="AI39" s="27">
        <f t="shared" si="87"/>
        <v>0.9988054483264689</v>
      </c>
      <c r="AJ39" s="24">
        <f t="shared" si="39"/>
        <v>0.7946162052186032</v>
      </c>
      <c r="AL39" s="38">
        <f>A40-A39</f>
        <v>31</v>
      </c>
      <c r="AM39" s="27">
        <f t="shared" si="40"/>
        <v>353.089656829834</v>
      </c>
      <c r="AN39" s="27">
        <f t="shared" si="88"/>
        <v>1</v>
      </c>
      <c r="AO39" s="27">
        <f t="shared" si="89"/>
        <v>0.7559603097763394</v>
      </c>
      <c r="AP39" s="144">
        <f t="shared" si="59"/>
        <v>266.92176635590266</v>
      </c>
      <c r="AQ39" s="27">
        <f t="shared" si="90"/>
        <v>0.016155157678947697</v>
      </c>
      <c r="AR39" s="27">
        <f t="shared" si="91"/>
        <v>0.8917647038779127</v>
      </c>
      <c r="AS39" s="27">
        <f t="shared" si="43"/>
        <v>1</v>
      </c>
      <c r="AT39" s="143">
        <f>AR39*AP39/100*AS39</f>
        <v>2.3803140993294094</v>
      </c>
      <c r="AU39" s="25">
        <f t="shared" si="92"/>
        <v>1.1187476266848224</v>
      </c>
      <c r="AW39" s="25">
        <f t="shared" si="93"/>
        <v>0.6</v>
      </c>
      <c r="AX39" s="25">
        <f t="shared" si="94"/>
        <v>0.10665378942713459</v>
      </c>
      <c r="AY39" s="25">
        <f t="shared" si="95"/>
        <v>0.23669057115400885</v>
      </c>
      <c r="AZ39" s="25">
        <f t="shared" si="61"/>
        <v>0.6897454616236596</v>
      </c>
      <c r="BA39" s="25">
        <f t="shared" si="62"/>
        <v>0.0735639672223316</v>
      </c>
      <c r="BB39" s="25">
        <f t="shared" si="96"/>
        <v>0.08229951373950355</v>
      </c>
      <c r="BC39" s="25">
        <f t="shared" si="97"/>
        <v>0.2647970147372225</v>
      </c>
      <c r="BD39" s="25">
        <f t="shared" si="98"/>
        <v>0.7716510982080964</v>
      </c>
      <c r="BG39" s="76">
        <f t="shared" si="116"/>
        <v>30713</v>
      </c>
      <c r="BH39" s="30">
        <f t="shared" si="99"/>
        <v>28</v>
      </c>
      <c r="BI39" s="27">
        <f>'PSP-1 Metdata'!D40</f>
        <v>9.00000011920929</v>
      </c>
      <c r="BJ39" s="28">
        <f>'PSP-1 Metdata'!E40</f>
        <v>14.800000190734863</v>
      </c>
      <c r="BK39" s="28">
        <f>'PSP-1 Metdata'!F40</f>
        <v>3.200000047683716</v>
      </c>
      <c r="BL39" s="28">
        <f>'PSP-1 Metdata'!G40</f>
        <v>17.439999389648438</v>
      </c>
      <c r="BM39" s="28">
        <f>'PSP-1 Metdata'!I40</f>
        <v>12.610344886779785</v>
      </c>
      <c r="BN39" s="28">
        <f>'PSP-1 Metdata'!J40</f>
        <v>6</v>
      </c>
      <c r="BO39" s="28">
        <f>'PSP-1 Metdata'!K40</f>
        <v>10</v>
      </c>
      <c r="BP39" s="25">
        <f>'PSP-1 Metdata'!L40</f>
        <v>16.833575963888826</v>
      </c>
      <c r="BQ39" s="25">
        <f>'PSP-1 Metdata'!M40</f>
        <v>7.685544927628023</v>
      </c>
      <c r="BR39" s="25">
        <f>'PSP-1 Metdata'!N40</f>
        <v>4.574015518130402</v>
      </c>
      <c r="BT39" s="25">
        <f t="shared" si="48"/>
        <v>37850.90307676919</v>
      </c>
      <c r="BU39" s="25">
        <f t="shared" si="100"/>
        <v>176.5266899699273</v>
      </c>
      <c r="BV39" s="25">
        <f t="shared" si="101"/>
        <v>0.2</v>
      </c>
      <c r="BW39" s="25">
        <f t="shared" si="102"/>
        <v>1679.7102299044059</v>
      </c>
      <c r="BX39" s="25">
        <f t="shared" si="103"/>
        <v>0.013462415448861122</v>
      </c>
      <c r="BY39" s="25">
        <f t="shared" si="104"/>
        <v>18.05617501255463</v>
      </c>
      <c r="BZ39" s="25">
        <f t="shared" si="105"/>
        <v>114.53527374431728</v>
      </c>
      <c r="CA39" s="27">
        <f t="shared" si="106"/>
        <v>1.762302254214382</v>
      </c>
      <c r="CB39" s="139">
        <f t="shared" si="50"/>
        <v>49.34446311800269</v>
      </c>
      <c r="CD39" s="27">
        <f>IF(CJ38&lt;'DadosReais&amp;Graficos'!MinASW,'DadosReais&amp;Graficos'!MinASW,IF(CJ38&gt;'DadosReais&amp;Graficos'!MaxASW,'DadosReais&amp;Graficos'!MaxASW,CJ38))</f>
        <v>187.77793721998287</v>
      </c>
      <c r="CE39" s="25">
        <f t="shared" si="107"/>
        <v>2.615999908447266</v>
      </c>
      <c r="CG39" s="27">
        <f t="shared" si="108"/>
        <v>205.21793660963132</v>
      </c>
      <c r="CH39" s="144">
        <f t="shared" si="51"/>
        <v>51.96046302644996</v>
      </c>
      <c r="CI39" s="27">
        <f>MAX(CG39-CH39-'DadosReais&amp;Graficos'!MaxASW,0)</f>
        <v>0</v>
      </c>
      <c r="CJ39" s="144">
        <f>CG39-CH39-CI39</f>
        <v>153.25747358318137</v>
      </c>
      <c r="CK39" s="27">
        <f>poolFractn*Month!CI39</f>
        <v>0</v>
      </c>
      <c r="CQ39" s="25">
        <f>SIN(PI()*'DadosReais&amp;Graficos'!Lat/180)</f>
        <v>0.6293203910498374</v>
      </c>
      <c r="CR39" s="25">
        <f>COS(PI()*'DadosReais&amp;Graficos'!Lat/180)</f>
        <v>0.7771459614569709</v>
      </c>
      <c r="CS39" s="25">
        <f t="shared" si="65"/>
        <v>1984</v>
      </c>
      <c r="CT39" s="29">
        <f t="shared" si="66"/>
        <v>30682</v>
      </c>
      <c r="CU39" s="30">
        <f t="shared" si="52"/>
        <v>2</v>
      </c>
      <c r="CV39" s="27">
        <f t="shared" si="109"/>
        <v>44</v>
      </c>
      <c r="CW39" s="25">
        <f t="shared" si="67"/>
        <v>-0.2321535487640738</v>
      </c>
      <c r="CX39" s="25">
        <f t="shared" si="110"/>
        <v>0.19327466507755395</v>
      </c>
      <c r="CY39" s="25">
        <f t="shared" si="68"/>
        <v>0.43808915598112486</v>
      </c>
      <c r="CZ39" s="25">
        <f t="shared" si="69"/>
        <v>37850.90307676919</v>
      </c>
    </row>
    <row r="40" spans="1:104" ht="12.75">
      <c r="A40" s="149">
        <f t="shared" si="111"/>
        <v>30740</v>
      </c>
      <c r="B40" s="60">
        <f t="shared" si="71"/>
        <v>8.92</v>
      </c>
      <c r="C40" s="78">
        <f t="shared" si="53"/>
        <v>8.916666666666666</v>
      </c>
      <c r="D40" s="171">
        <f t="shared" si="30"/>
        <v>544628.3238046059</v>
      </c>
      <c r="E40" s="30">
        <f t="shared" si="70"/>
        <v>1111</v>
      </c>
      <c r="F40" s="27">
        <f t="shared" si="112"/>
        <v>7.040618980890584</v>
      </c>
      <c r="G40" s="27">
        <f t="shared" si="113"/>
        <v>22.487206409250003</v>
      </c>
      <c r="H40" s="27">
        <f t="shared" si="114"/>
        <v>86.04270972156797</v>
      </c>
      <c r="I40" s="27">
        <f t="shared" si="33"/>
        <v>93.08332870245856</v>
      </c>
      <c r="J40" s="27">
        <f t="shared" si="55"/>
        <v>115.57053511170857</v>
      </c>
      <c r="K40" s="27">
        <f t="shared" si="72"/>
        <v>4.0010367212903395</v>
      </c>
      <c r="L40" s="27">
        <f t="shared" si="73"/>
        <v>2.8169775083157</v>
      </c>
      <c r="M40" s="27">
        <f t="shared" si="115"/>
        <v>3.070060579577959</v>
      </c>
      <c r="O40" s="25">
        <f t="shared" si="74"/>
        <v>0.013</v>
      </c>
      <c r="P40" s="25">
        <f t="shared" si="75"/>
        <v>0.0915280467515776</v>
      </c>
      <c r="Q40" s="25">
        <f t="shared" si="76"/>
        <v>0.22487206409250005</v>
      </c>
      <c r="S40" s="27">
        <f t="shared" si="57"/>
        <v>77.44618336774795</v>
      </c>
      <c r="T40" s="27">
        <f t="shared" si="77"/>
        <v>14.503093777422535</v>
      </c>
      <c r="U40" s="27">
        <f t="shared" si="78"/>
        <v>0.17729349717829102</v>
      </c>
      <c r="V40" s="27">
        <f t="shared" si="79"/>
        <v>0.45</v>
      </c>
      <c r="W40" s="27">
        <f t="shared" si="80"/>
        <v>157.30643735185478</v>
      </c>
      <c r="X40" s="27">
        <f t="shared" si="81"/>
        <v>17.64184344132951</v>
      </c>
      <c r="Y40" s="27">
        <f t="shared" si="82"/>
        <v>18.353768543787645</v>
      </c>
      <c r="AA40" s="24">
        <f t="shared" si="83"/>
        <v>0.7537119793235333</v>
      </c>
      <c r="AB40" s="23">
        <f t="shared" si="84"/>
        <v>0.7965996062175451</v>
      </c>
      <c r="AC40" s="23">
        <f>IF('DadosReais&amp;Graficos'!soilClass&gt;0,0.8-0.1*'DadosReais&amp;Graficos'!soilClass,IF('DadosReais&amp;Graficos'!soilClass&lt;0,SWconst0,999))</f>
        <v>0.6000000000000001</v>
      </c>
      <c r="AD40" s="23">
        <f>IF('DadosReais&amp;Graficos'!soilClass&gt;0,11-2*'DadosReais&amp;Graficos'!soilClass,SWpower0)</f>
        <v>7</v>
      </c>
      <c r="AE40" s="24">
        <f>1/(1+((1-CD40/'DadosReais&amp;Graficos'!MaxASW)/AC40)^AD40)</f>
        <v>0.998641292188727</v>
      </c>
      <c r="AF40" s="24">
        <f t="shared" si="58"/>
        <v>0.6</v>
      </c>
      <c r="AG40" s="27">
        <f t="shared" si="85"/>
        <v>1</v>
      </c>
      <c r="AH40" s="27">
        <f t="shared" si="86"/>
        <v>0.8333333333333334</v>
      </c>
      <c r="AI40" s="27">
        <f t="shared" si="87"/>
        <v>0.9987597856972159</v>
      </c>
      <c r="AJ40" s="24">
        <f t="shared" si="39"/>
        <v>0.795611651992322</v>
      </c>
      <c r="AM40" s="27">
        <f t="shared" si="40"/>
        <v>444.46999740600586</v>
      </c>
      <c r="AN40" s="27">
        <f t="shared" si="88"/>
        <v>1</v>
      </c>
      <c r="AO40" s="27">
        <f t="shared" si="89"/>
        <v>0.7554874773894857</v>
      </c>
      <c r="AP40" s="27">
        <f t="shared" si="59"/>
        <v>335.79151711557466</v>
      </c>
      <c r="AQ40" s="27">
        <f t="shared" si="90"/>
        <v>0.027484509845649964</v>
      </c>
      <c r="AR40" s="27">
        <f t="shared" si="91"/>
        <v>1.5171449434798778</v>
      </c>
      <c r="AS40" s="27">
        <f t="shared" si="43"/>
        <v>1</v>
      </c>
      <c r="AT40" s="25">
        <f t="shared" si="44"/>
        <v>5.09444402255331</v>
      </c>
      <c r="AU40" s="25">
        <f t="shared" si="92"/>
        <v>2.3943886906000555</v>
      </c>
      <c r="AW40" s="25">
        <f t="shared" si="93"/>
        <v>0.6</v>
      </c>
      <c r="AX40" s="25">
        <f t="shared" si="94"/>
        <v>0.10646830770586431</v>
      </c>
      <c r="AY40" s="25">
        <f t="shared" si="95"/>
        <v>0.23653452553747417</v>
      </c>
      <c r="AZ40" s="25">
        <f t="shared" si="61"/>
        <v>0.6900021167759285</v>
      </c>
      <c r="BA40" s="25">
        <f t="shared" si="62"/>
        <v>0.07346335768659729</v>
      </c>
      <c r="BB40" s="25">
        <f t="shared" si="96"/>
        <v>0.1758998328182952</v>
      </c>
      <c r="BC40" s="25">
        <f t="shared" si="97"/>
        <v>0.5663555928833782</v>
      </c>
      <c r="BD40" s="25">
        <f t="shared" si="98"/>
        <v>1.652133264898382</v>
      </c>
      <c r="BG40" s="76">
        <f t="shared" si="116"/>
        <v>30742</v>
      </c>
      <c r="BH40" s="30">
        <f t="shared" si="99"/>
        <v>31</v>
      </c>
      <c r="BI40" s="27">
        <f>'PSP-1 Metdata'!D41</f>
        <v>10.649999856948853</v>
      </c>
      <c r="BJ40" s="28">
        <f>'PSP-1 Metdata'!E41</f>
        <v>15.899999618530273</v>
      </c>
      <c r="BK40" s="28">
        <f>'PSP-1 Metdata'!F41</f>
        <v>5.400000095367432</v>
      </c>
      <c r="BL40" s="28">
        <f>'PSP-1 Metdata'!G41</f>
        <v>80.64000244140625</v>
      </c>
      <c r="BM40" s="28">
        <f>'PSP-1 Metdata'!I41</f>
        <v>14.33774185180664</v>
      </c>
      <c r="BN40" s="28">
        <f>'PSP-1 Metdata'!J41</f>
        <v>11</v>
      </c>
      <c r="BO40" s="28">
        <f>'PSP-1 Metdata'!K41</f>
        <v>5</v>
      </c>
      <c r="BP40" s="25">
        <f>'PSP-1 Metdata'!L41</f>
        <v>18.06532479379342</v>
      </c>
      <c r="BQ40" s="25">
        <f>'PSP-1 Metdata'!M41</f>
        <v>8.969200691246135</v>
      </c>
      <c r="BR40" s="25">
        <f>'PSP-1 Metdata'!N41</f>
        <v>4.548062051273642</v>
      </c>
      <c r="BT40" s="25">
        <f t="shared" si="48"/>
        <v>42434.28237611158</v>
      </c>
      <c r="BU40" s="25">
        <f t="shared" si="100"/>
        <v>180.30487707510923</v>
      </c>
      <c r="BV40" s="25">
        <f t="shared" si="101"/>
        <v>0.2</v>
      </c>
      <c r="BW40" s="25">
        <f t="shared" si="102"/>
        <v>1670.1793694147582</v>
      </c>
      <c r="BX40" s="25">
        <f t="shared" si="103"/>
        <v>0.013460781555653266</v>
      </c>
      <c r="BY40" s="25">
        <f t="shared" si="104"/>
        <v>18.057978281060798</v>
      </c>
      <c r="BZ40" s="25">
        <f t="shared" si="105"/>
        <v>114.45633984108345</v>
      </c>
      <c r="CA40" s="27">
        <f t="shared" si="106"/>
        <v>1.9743384733954166</v>
      </c>
      <c r="CB40" s="139">
        <f t="shared" si="50"/>
        <v>61.20449267525791</v>
      </c>
      <c r="CD40" s="27">
        <f>IF(CJ39&lt;'DadosReais&amp;Graficos'!MinASW,'DadosReais&amp;Graficos'!MinASW,IF(CJ39&gt;'DadosReais&amp;Graficos'!MaxASW,'DadosReais&amp;Graficos'!MaxASW,CJ39))</f>
        <v>153.25747358318137</v>
      </c>
      <c r="CE40" s="25">
        <f t="shared" si="107"/>
        <v>12.096000366210937</v>
      </c>
      <c r="CG40" s="27">
        <f t="shared" si="108"/>
        <v>233.8974760245876</v>
      </c>
      <c r="CH40" s="27">
        <f t="shared" si="51"/>
        <v>73.30049304146885</v>
      </c>
      <c r="CI40" s="27">
        <f>MAX(CG40-CH40-'DadosReais&amp;Graficos'!MaxASW,0)</f>
        <v>0</v>
      </c>
      <c r="CJ40" s="144">
        <f t="shared" si="63"/>
        <v>160.59698298311875</v>
      </c>
      <c r="CK40" s="27">
        <f>poolFractn*Month!CI40</f>
        <v>0</v>
      </c>
      <c r="CQ40" s="25">
        <f>SIN(PI()*'DadosReais&amp;Graficos'!Lat/180)</f>
        <v>0.6293203910498374</v>
      </c>
      <c r="CR40" s="25">
        <f>COS(PI()*'DadosReais&amp;Graficos'!Lat/180)</f>
        <v>0.7771459614569709</v>
      </c>
      <c r="CS40" s="25">
        <f t="shared" si="65"/>
        <v>1984</v>
      </c>
      <c r="CT40" s="29">
        <f t="shared" si="66"/>
        <v>30682</v>
      </c>
      <c r="CU40" s="30">
        <f t="shared" si="52"/>
        <v>3</v>
      </c>
      <c r="CV40" s="27">
        <f t="shared" si="109"/>
        <v>75</v>
      </c>
      <c r="CW40" s="25">
        <f t="shared" si="67"/>
        <v>-0.03435761194480621</v>
      </c>
      <c r="CX40" s="25">
        <f t="shared" si="110"/>
        <v>0.027838681446559606</v>
      </c>
      <c r="CY40" s="25">
        <f t="shared" si="68"/>
        <v>0.49113752750129147</v>
      </c>
      <c r="CZ40" s="25">
        <f t="shared" si="69"/>
        <v>42434.28237611158</v>
      </c>
    </row>
    <row r="41" spans="1:104" ht="12.75">
      <c r="A41" s="149">
        <f t="shared" si="111"/>
        <v>30769</v>
      </c>
      <c r="B41" s="60">
        <f t="shared" si="71"/>
        <v>9</v>
      </c>
      <c r="C41" s="78">
        <f t="shared" si="53"/>
        <v>9</v>
      </c>
      <c r="D41" s="171">
        <f t="shared" si="30"/>
        <v>529790.5641358747</v>
      </c>
      <c r="E41" s="30">
        <f t="shared" si="70"/>
        <v>1111</v>
      </c>
      <c r="F41" s="27">
        <f t="shared" si="112"/>
        <v>7.124990766957302</v>
      </c>
      <c r="G41" s="27">
        <f t="shared" si="113"/>
        <v>22.82868993804088</v>
      </c>
      <c r="H41" s="27">
        <f t="shared" si="114"/>
        <v>87.69484298646636</v>
      </c>
      <c r="I41" s="27">
        <f t="shared" si="33"/>
        <v>94.81983375342365</v>
      </c>
      <c r="J41" s="27">
        <f t="shared" si="55"/>
        <v>117.64852369146453</v>
      </c>
      <c r="K41" s="27">
        <f t="shared" si="72"/>
        <v>4.000878515232738</v>
      </c>
      <c r="L41" s="27">
        <f t="shared" si="73"/>
        <v>2.85062224807511</v>
      </c>
      <c r="M41" s="27">
        <f t="shared" si="115"/>
        <v>3.1615886263295367</v>
      </c>
      <c r="O41" s="25">
        <f t="shared" si="74"/>
        <v>0.013</v>
      </c>
      <c r="P41" s="25">
        <f t="shared" si="75"/>
        <v>0.09262487997044491</v>
      </c>
      <c r="Q41" s="25">
        <f t="shared" si="76"/>
        <v>0.2282868993804088</v>
      </c>
      <c r="S41" s="27">
        <f t="shared" si="57"/>
        <v>78.93325201302102</v>
      </c>
      <c r="T41" s="27">
        <f t="shared" si="77"/>
        <v>14.605381201736495</v>
      </c>
      <c r="U41" s="27">
        <f t="shared" si="78"/>
        <v>0.17651650429449553</v>
      </c>
      <c r="V41" s="27">
        <f t="shared" si="79"/>
        <v>0.45</v>
      </c>
      <c r="W41" s="27">
        <f t="shared" si="80"/>
        <v>160.47834635075702</v>
      </c>
      <c r="X41" s="27">
        <f t="shared" si="81"/>
        <v>17.830927372306334</v>
      </c>
      <c r="Y41" s="27">
        <f t="shared" si="82"/>
        <v>18.6135724258129</v>
      </c>
      <c r="AA41" s="24">
        <f t="shared" si="83"/>
        <v>0.9997144607587265</v>
      </c>
      <c r="AB41" s="23">
        <f t="shared" si="84"/>
        <v>0.7525117998282098</v>
      </c>
      <c r="AC41" s="23">
        <f>IF('DadosReais&amp;Graficos'!soilClass&gt;0,0.8-0.1*'DadosReais&amp;Graficos'!soilClass,IF('DadosReais&amp;Graficos'!soilClass&lt;0,SWconst0,999))</f>
        <v>0.6000000000000001</v>
      </c>
      <c r="AD41" s="23">
        <f>IF('DadosReais&amp;Graficos'!soilClass&gt;0,11-2*'DadosReais&amp;Graficos'!soilClass,SWpower0)</f>
        <v>7</v>
      </c>
      <c r="AE41" s="24">
        <f>1/(1+((1-CD41/'DadosReais&amp;Graficos'!MaxASW)/AC41)^AD41)</f>
        <v>0.9995886050957523</v>
      </c>
      <c r="AF41" s="24">
        <f t="shared" si="58"/>
        <v>0.6</v>
      </c>
      <c r="AG41" s="27">
        <f t="shared" si="85"/>
        <v>1</v>
      </c>
      <c r="AH41" s="27">
        <f t="shared" si="86"/>
        <v>1</v>
      </c>
      <c r="AI41" s="27">
        <f t="shared" si="87"/>
        <v>0.9987128290551129</v>
      </c>
      <c r="AJ41" s="24">
        <f t="shared" si="39"/>
        <v>0.7515431885037863</v>
      </c>
      <c r="AM41" s="27">
        <f t="shared" si="40"/>
        <v>585.369987487793</v>
      </c>
      <c r="AN41" s="27">
        <f t="shared" si="88"/>
        <v>1</v>
      </c>
      <c r="AO41" s="27">
        <f t="shared" si="89"/>
        <v>0.7595663531166154</v>
      </c>
      <c r="AP41" s="27">
        <f t="shared" si="59"/>
        <v>444.6273466200217</v>
      </c>
      <c r="AQ41" s="27">
        <f t="shared" si="90"/>
        <v>0.04132307263875762</v>
      </c>
      <c r="AR41" s="27">
        <f t="shared" si="91"/>
        <v>2.2810336096594206</v>
      </c>
      <c r="AS41" s="27">
        <f t="shared" si="43"/>
        <v>1</v>
      </c>
      <c r="AT41" s="25">
        <f t="shared" si="44"/>
        <v>10.142099214139584</v>
      </c>
      <c r="AU41" s="25">
        <f t="shared" si="92"/>
        <v>4.766786630645604</v>
      </c>
      <c r="AW41" s="25">
        <f t="shared" si="93"/>
        <v>0.6</v>
      </c>
      <c r="AX41" s="25">
        <f t="shared" si="94"/>
        <v>0.1060777743072288</v>
      </c>
      <c r="AY41" s="25">
        <f t="shared" si="95"/>
        <v>0.2436456645541696</v>
      </c>
      <c r="AZ41" s="25">
        <f t="shared" si="61"/>
        <v>0.6838165932043603</v>
      </c>
      <c r="BA41" s="25">
        <f t="shared" si="62"/>
        <v>0.07253774224147014</v>
      </c>
      <c r="BB41" s="25">
        <f t="shared" si="96"/>
        <v>0.34577193993385674</v>
      </c>
      <c r="BC41" s="25">
        <f t="shared" si="97"/>
        <v>1.1614068964115791</v>
      </c>
      <c r="BD41" s="25">
        <f t="shared" si="98"/>
        <v>3.2596077943001682</v>
      </c>
      <c r="BG41" s="76">
        <f t="shared" si="116"/>
        <v>30773</v>
      </c>
      <c r="BH41" s="30">
        <f t="shared" si="99"/>
        <v>30</v>
      </c>
      <c r="BI41" s="27">
        <f>'PSP-1 Metdata'!D42</f>
        <v>15.800000190734863</v>
      </c>
      <c r="BJ41" s="28">
        <f>'PSP-1 Metdata'!E42</f>
        <v>20.700000762939453</v>
      </c>
      <c r="BK41" s="28">
        <f>'PSP-1 Metdata'!F42</f>
        <v>10.899999618530273</v>
      </c>
      <c r="BL41" s="28">
        <f>'PSP-1 Metdata'!G42</f>
        <v>44.16000061035157</v>
      </c>
      <c r="BM41" s="28">
        <f>'PSP-1 Metdata'!I42</f>
        <v>19.512332916259766</v>
      </c>
      <c r="BN41" s="28">
        <f>'PSP-1 Metdata'!J42</f>
        <v>10</v>
      </c>
      <c r="BO41" s="28">
        <f>'PSP-1 Metdata'!K42</f>
        <v>0</v>
      </c>
      <c r="BP41" s="25">
        <f>'PSP-1 Metdata'!L42</f>
        <v>24.412681633489253</v>
      </c>
      <c r="BQ41" s="25">
        <f>'PSP-1 Metdata'!M42</f>
        <v>13.039137567600497</v>
      </c>
      <c r="BR41" s="25">
        <f>'PSP-1 Metdata'!N42</f>
        <v>5.686772032944378</v>
      </c>
      <c r="BT41" s="25">
        <f t="shared" si="48"/>
        <v>46978.19870062779</v>
      </c>
      <c r="BU41" s="25">
        <f t="shared" si="100"/>
        <v>242.27894565483228</v>
      </c>
      <c r="BV41" s="25">
        <f t="shared" si="101"/>
        <v>0.2</v>
      </c>
      <c r="BW41" s="25">
        <f t="shared" si="102"/>
        <v>2088.346469531725</v>
      </c>
      <c r="BX41" s="25">
        <f t="shared" si="103"/>
        <v>0.01286706146269189</v>
      </c>
      <c r="BY41" s="25">
        <f t="shared" si="104"/>
        <v>18.743564517811702</v>
      </c>
      <c r="BZ41" s="25">
        <f t="shared" si="105"/>
        <v>139.85387611205545</v>
      </c>
      <c r="CA41" s="27">
        <f t="shared" si="106"/>
        <v>2.6707655207500505</v>
      </c>
      <c r="CB41" s="139">
        <f t="shared" si="50"/>
        <v>80.12296562250151</v>
      </c>
      <c r="CD41" s="27">
        <f>IF(CJ40&lt;'DadosReais&amp;Graficos'!MinASW,'DadosReais&amp;Graficos'!MinASW,IF(CJ40&gt;'DadosReais&amp;Graficos'!MaxASW,'DadosReais&amp;Graficos'!MaxASW,CJ40))</f>
        <v>160.59698298311875</v>
      </c>
      <c r="CE41" s="25">
        <f t="shared" si="107"/>
        <v>6.624000091552735</v>
      </c>
      <c r="CG41" s="27">
        <f t="shared" si="108"/>
        <v>204.75698359347032</v>
      </c>
      <c r="CH41" s="27">
        <f t="shared" si="51"/>
        <v>86.74696571405424</v>
      </c>
      <c r="CI41" s="27">
        <f>MAX(CG41-CH41-'DadosReais&amp;Graficos'!MaxASW,0)</f>
        <v>0</v>
      </c>
      <c r="CJ41" s="144">
        <f t="shared" si="63"/>
        <v>118.01001787941608</v>
      </c>
      <c r="CK41" s="27">
        <f>poolFractn*Month!CI41</f>
        <v>0</v>
      </c>
      <c r="CQ41" s="25">
        <f>SIN(PI()*'DadosReais&amp;Graficos'!Lat/180)</f>
        <v>0.6293203910498374</v>
      </c>
      <c r="CR41" s="25">
        <f>COS(PI()*'DadosReais&amp;Graficos'!Lat/180)</f>
        <v>0.7771459614569709</v>
      </c>
      <c r="CS41" s="25">
        <f t="shared" si="65"/>
        <v>1984</v>
      </c>
      <c r="CT41" s="29">
        <f t="shared" si="66"/>
        <v>30682</v>
      </c>
      <c r="CU41" s="30">
        <f t="shared" si="52"/>
        <v>4</v>
      </c>
      <c r="CV41" s="27">
        <f t="shared" si="109"/>
        <v>105</v>
      </c>
      <c r="CW41" s="25">
        <f t="shared" si="67"/>
        <v>0.16674832097168432</v>
      </c>
      <c r="CX41" s="25">
        <f t="shared" si="110"/>
        <v>-0.13694746197546548</v>
      </c>
      <c r="CY41" s="25">
        <f t="shared" si="68"/>
        <v>0.5437291516276365</v>
      </c>
      <c r="CZ41" s="25">
        <f t="shared" si="69"/>
        <v>46978.19870062779</v>
      </c>
    </row>
    <row r="42" spans="1:104" ht="12.75">
      <c r="A42" s="149">
        <f t="shared" si="111"/>
        <v>30800</v>
      </c>
      <c r="B42" s="60">
        <f t="shared" si="71"/>
        <v>9.08</v>
      </c>
      <c r="C42" s="78">
        <f t="shared" si="53"/>
        <v>9.083333333333334</v>
      </c>
      <c r="D42" s="171">
        <f t="shared" si="30"/>
        <v>500189.8436352079</v>
      </c>
      <c r="E42" s="30">
        <f t="shared" si="70"/>
        <v>1111</v>
      </c>
      <c r="F42" s="27">
        <f t="shared" si="112"/>
        <v>7.378137826920714</v>
      </c>
      <c r="G42" s="27">
        <f t="shared" si="113"/>
        <v>23.76180993507205</v>
      </c>
      <c r="H42" s="27">
        <f t="shared" si="114"/>
        <v>90.95445078076652</v>
      </c>
      <c r="I42" s="27">
        <f t="shared" si="33"/>
        <v>98.33258860768723</v>
      </c>
      <c r="J42" s="27">
        <f t="shared" si="55"/>
        <v>122.09439854275928</v>
      </c>
      <c r="K42" s="27">
        <f t="shared" si="72"/>
        <v>4.000743305967506</v>
      </c>
      <c r="L42" s="27">
        <f t="shared" si="73"/>
        <v>2.951803552155869</v>
      </c>
      <c r="M42" s="27">
        <f t="shared" si="115"/>
        <v>3.2542135062999815</v>
      </c>
      <c r="O42" s="25">
        <f t="shared" si="74"/>
        <v>0.013</v>
      </c>
      <c r="P42" s="25">
        <f t="shared" si="75"/>
        <v>0.09591579174996928</v>
      </c>
      <c r="Q42" s="25">
        <f t="shared" si="76"/>
        <v>0.2376180993507205</v>
      </c>
      <c r="S42" s="27">
        <f t="shared" si="57"/>
        <v>81.86719242193206</v>
      </c>
      <c r="T42" s="27">
        <f t="shared" si="77"/>
        <v>14.803683149763732</v>
      </c>
      <c r="U42" s="27">
        <f t="shared" si="78"/>
        <v>0.17576163088983918</v>
      </c>
      <c r="V42" s="27">
        <f t="shared" si="79"/>
        <v>0.45</v>
      </c>
      <c r="W42" s="27">
        <f t="shared" si="80"/>
        <v>166.59588483299865</v>
      </c>
      <c r="X42" s="27">
        <f t="shared" si="81"/>
        <v>18.340831357761317</v>
      </c>
      <c r="Y42" s="27">
        <f t="shared" si="82"/>
        <v>19.122448612910972</v>
      </c>
      <c r="AA42" s="24">
        <f t="shared" si="83"/>
        <v>0.9383157973843431</v>
      </c>
      <c r="AB42" s="23">
        <f t="shared" si="84"/>
        <v>0.8025431704429793</v>
      </c>
      <c r="AC42" s="23">
        <f>IF('DadosReais&amp;Graficos'!soilClass&gt;0,0.8-0.1*'DadosReais&amp;Graficos'!soilClass,IF('DadosReais&amp;Graficos'!soilClass&lt;0,SWconst0,999))</f>
        <v>0.6000000000000001</v>
      </c>
      <c r="AD42" s="23">
        <f>IF('DadosReais&amp;Graficos'!soilClass&gt;0,11-2*'DadosReais&amp;Graficos'!soilClass,SWpower0)</f>
        <v>7</v>
      </c>
      <c r="AE42" s="24">
        <f>1/(1+((1-CD42/'DadosReais&amp;Graficos'!MaxASW)/AC42)^AD42)</f>
        <v>0.9350062866661407</v>
      </c>
      <c r="AF42" s="24">
        <f t="shared" si="58"/>
        <v>0.6</v>
      </c>
      <c r="AG42" s="27">
        <f t="shared" si="85"/>
        <v>1</v>
      </c>
      <c r="AH42" s="27">
        <f t="shared" si="86"/>
        <v>1</v>
      </c>
      <c r="AI42" s="27">
        <f t="shared" si="87"/>
        <v>0.9986645543899288</v>
      </c>
      <c r="AJ42" s="24">
        <f t="shared" si="39"/>
        <v>0.8014714176891187</v>
      </c>
      <c r="AM42" s="27">
        <f t="shared" si="40"/>
        <v>634.4300231933594</v>
      </c>
      <c r="AN42" s="27">
        <f t="shared" si="88"/>
        <v>1</v>
      </c>
      <c r="AO42" s="27">
        <f t="shared" si="89"/>
        <v>0.7714274871444812</v>
      </c>
      <c r="AP42" s="27">
        <f t="shared" si="59"/>
        <v>489.41675856106815</v>
      </c>
      <c r="AQ42" s="27">
        <f t="shared" si="90"/>
        <v>0.04136183108033489</v>
      </c>
      <c r="AR42" s="27">
        <f t="shared" si="91"/>
        <v>2.283173075634486</v>
      </c>
      <c r="AS42" s="27">
        <f t="shared" si="43"/>
        <v>1</v>
      </c>
      <c r="AT42" s="25">
        <f t="shared" si="44"/>
        <v>11.174231659109346</v>
      </c>
      <c r="AU42" s="25">
        <f t="shared" si="92"/>
        <v>5.251888879781392</v>
      </c>
      <c r="AW42" s="25">
        <f t="shared" si="93"/>
        <v>0.6</v>
      </c>
      <c r="AX42" s="25">
        <f t="shared" si="94"/>
        <v>0.10533239485323997</v>
      </c>
      <c r="AY42" s="25">
        <f t="shared" si="95"/>
        <v>0.2356201066839427</v>
      </c>
      <c r="AZ42" s="25">
        <f t="shared" si="61"/>
        <v>0.6915384882187836</v>
      </c>
      <c r="BA42" s="25">
        <f t="shared" si="62"/>
        <v>0.07284140509727366</v>
      </c>
      <c r="BB42" s="25">
        <f t="shared" si="96"/>
        <v>0.38255496541802314</v>
      </c>
      <c r="BC42" s="25">
        <f t="shared" si="97"/>
        <v>1.2374506181463039</v>
      </c>
      <c r="BD42" s="25">
        <f t="shared" si="98"/>
        <v>3.631883296217065</v>
      </c>
      <c r="BG42" s="76">
        <f t="shared" si="116"/>
        <v>30803</v>
      </c>
      <c r="BH42" s="30">
        <f t="shared" si="99"/>
        <v>31</v>
      </c>
      <c r="BI42" s="27">
        <f>'PSP-1 Metdata'!D43</f>
        <v>13.200000286102295</v>
      </c>
      <c r="BJ42" s="28">
        <f>'PSP-1 Metdata'!E43</f>
        <v>17.600000381469727</v>
      </c>
      <c r="BK42" s="28">
        <f>'PSP-1 Metdata'!F43</f>
        <v>8.800000190734863</v>
      </c>
      <c r="BL42" s="28">
        <f>'PSP-1 Metdata'!G43</f>
        <v>76</v>
      </c>
      <c r="BM42" s="28">
        <f>'PSP-1 Metdata'!I43</f>
        <v>20.465484619140625</v>
      </c>
      <c r="BN42" s="28">
        <f>'PSP-1 Metdata'!J43</f>
        <v>12</v>
      </c>
      <c r="BO42" s="28">
        <f>'PSP-1 Metdata'!K43</f>
        <v>0</v>
      </c>
      <c r="BP42" s="25">
        <f>'PSP-1 Metdata'!L43</f>
        <v>20.124417318389774</v>
      </c>
      <c r="BQ42" s="25">
        <f>'PSP-1 Metdata'!M43</f>
        <v>11.325632099176183</v>
      </c>
      <c r="BR42" s="25">
        <f>'PSP-1 Metdata'!N43</f>
        <v>4.399392609606796</v>
      </c>
      <c r="BT42" s="25">
        <f t="shared" si="48"/>
        <v>51049.507507765746</v>
      </c>
      <c r="BU42" s="25">
        <f t="shared" si="100"/>
        <v>230.71587943961856</v>
      </c>
      <c r="BV42" s="25">
        <f t="shared" si="101"/>
        <v>0.2</v>
      </c>
      <c r="BW42" s="25">
        <f t="shared" si="102"/>
        <v>1615.5836687547724</v>
      </c>
      <c r="BX42" s="25">
        <f t="shared" si="103"/>
        <v>0.014208925992108951</v>
      </c>
      <c r="BY42" s="25">
        <f t="shared" si="104"/>
        <v>17.275659209645525</v>
      </c>
      <c r="BZ42" s="25">
        <f t="shared" si="105"/>
        <v>122.89884731787888</v>
      </c>
      <c r="CA42" s="27">
        <f t="shared" si="106"/>
        <v>2.550376271890168</v>
      </c>
      <c r="CB42" s="139">
        <f t="shared" si="50"/>
        <v>79.06166442859521</v>
      </c>
      <c r="CD42" s="27">
        <f>IF(CJ41&lt;'DadosReais&amp;Graficos'!MinASW,'DadosReais&amp;Graficos'!MinASW,IF(CJ41&gt;'DadosReais&amp;Graficos'!MaxASW,'DadosReais&amp;Graficos'!MaxASW,CJ41))</f>
        <v>118.01001787941608</v>
      </c>
      <c r="CE42" s="25">
        <f t="shared" si="107"/>
        <v>11.4</v>
      </c>
      <c r="CG42" s="27">
        <f t="shared" si="108"/>
        <v>194.01001787941607</v>
      </c>
      <c r="CH42" s="27">
        <f t="shared" si="51"/>
        <v>90.46166442859521</v>
      </c>
      <c r="CI42" s="27">
        <f>MAX(CG42-CH42-'DadosReais&amp;Graficos'!MaxASW,0)</f>
        <v>0</v>
      </c>
      <c r="CJ42" s="144">
        <f t="shared" si="63"/>
        <v>103.54835345082085</v>
      </c>
      <c r="CK42" s="27">
        <f>poolFractn*Month!CI42</f>
        <v>0</v>
      </c>
      <c r="CQ42" s="25">
        <f>SIN(PI()*'DadosReais&amp;Graficos'!Lat/180)</f>
        <v>0.6293203910498374</v>
      </c>
      <c r="CR42" s="25">
        <f>COS(PI()*'DadosReais&amp;Graficos'!Lat/180)</f>
        <v>0.7771459614569709</v>
      </c>
      <c r="CS42" s="25">
        <f t="shared" si="65"/>
        <v>1984</v>
      </c>
      <c r="CT42" s="29">
        <f t="shared" si="66"/>
        <v>30682</v>
      </c>
      <c r="CU42" s="30">
        <f t="shared" si="52"/>
        <v>5</v>
      </c>
      <c r="CV42" s="27">
        <f t="shared" si="109"/>
        <v>136</v>
      </c>
      <c r="CW42" s="25">
        <f t="shared" si="67"/>
        <v>0.328409053946799</v>
      </c>
      <c r="CX42" s="25">
        <f t="shared" si="110"/>
        <v>-0.2815567874772962</v>
      </c>
      <c r="CY42" s="25">
        <f t="shared" si="68"/>
        <v>0.5908507813398813</v>
      </c>
      <c r="CZ42" s="25">
        <f t="shared" si="69"/>
        <v>51049.507507765746</v>
      </c>
    </row>
    <row r="43" spans="1:104" ht="12.75">
      <c r="A43" s="149">
        <f t="shared" si="111"/>
        <v>30830</v>
      </c>
      <c r="B43" s="60">
        <f t="shared" si="71"/>
        <v>9.17</v>
      </c>
      <c r="C43" s="78">
        <f t="shared" si="53"/>
        <v>9.166666666666668</v>
      </c>
      <c r="D43" s="171">
        <f t="shared" si="30"/>
        <v>470489.4639298829</v>
      </c>
      <c r="E43" s="30">
        <f t="shared" si="70"/>
        <v>1111</v>
      </c>
      <c r="F43" s="27">
        <f t="shared" si="112"/>
        <v>7.664777000588768</v>
      </c>
      <c r="G43" s="27">
        <f t="shared" si="113"/>
        <v>24.761642453867637</v>
      </c>
      <c r="H43" s="27">
        <f t="shared" si="114"/>
        <v>94.58633407698359</v>
      </c>
      <c r="I43" s="27">
        <f t="shared" si="33"/>
        <v>102.25111107757236</v>
      </c>
      <c r="J43" s="27">
        <f t="shared" si="55"/>
        <v>127.01275353144</v>
      </c>
      <c r="K43" s="27">
        <f t="shared" si="72"/>
        <v>4.000627938320674</v>
      </c>
      <c r="L43" s="27">
        <f t="shared" si="73"/>
        <v>3.0663921009553166</v>
      </c>
      <c r="M43" s="27">
        <f t="shared" si="115"/>
        <v>3.350129298049951</v>
      </c>
      <c r="O43" s="25">
        <f t="shared" si="74"/>
        <v>0.013</v>
      </c>
      <c r="P43" s="25">
        <f t="shared" si="75"/>
        <v>0.09964210100765399</v>
      </c>
      <c r="Q43" s="25">
        <f t="shared" si="76"/>
        <v>0.24761642453867638</v>
      </c>
      <c r="S43" s="27">
        <f t="shared" si="57"/>
        <v>85.1362142907143</v>
      </c>
      <c r="T43" s="27">
        <f t="shared" si="77"/>
        <v>15.019424505729134</v>
      </c>
      <c r="U43" s="27">
        <f t="shared" si="78"/>
        <v>0.17502824726568814</v>
      </c>
      <c r="V43" s="27">
        <f t="shared" si="79"/>
        <v>0.45</v>
      </c>
      <c r="W43" s="27">
        <f t="shared" si="80"/>
        <v>173.40234179600517</v>
      </c>
      <c r="X43" s="27">
        <f t="shared" si="81"/>
        <v>18.916619105018743</v>
      </c>
      <c r="Y43" s="27">
        <f t="shared" si="82"/>
        <v>19.683871664626395</v>
      </c>
      <c r="AA43" s="24">
        <f t="shared" si="83"/>
        <v>0.9644038609312818</v>
      </c>
      <c r="AB43" s="23">
        <f t="shared" si="84"/>
        <v>0.7381715202944409</v>
      </c>
      <c r="AC43" s="23">
        <f>IF('DadosReais&amp;Graficos'!soilClass&gt;0,0.8-0.1*'DadosReais&amp;Graficos'!soilClass,IF('DadosReais&amp;Graficos'!soilClass&lt;0,SWconst0,999))</f>
        <v>0.6000000000000001</v>
      </c>
      <c r="AD43" s="23">
        <f>IF('DadosReais&amp;Graficos'!soilClass&gt;0,11-2*'DadosReais&amp;Graficos'!soilClass,SWpower0)</f>
        <v>7</v>
      </c>
      <c r="AE43" s="146">
        <f>1/(1+((1-CD43/'DadosReais&amp;Graficos'!MaxASW)/AC43)^AD43)</f>
        <v>0.8218818453923233</v>
      </c>
      <c r="AF43" s="24">
        <f t="shared" si="58"/>
        <v>0.6</v>
      </c>
      <c r="AG43" s="27">
        <f t="shared" si="85"/>
        <v>1</v>
      </c>
      <c r="AH43" s="27">
        <f t="shared" si="86"/>
        <v>1</v>
      </c>
      <c r="AI43" s="145">
        <f t="shared" si="87"/>
        <v>0.9986149374844026</v>
      </c>
      <c r="AJ43" s="24">
        <f t="shared" si="39"/>
        <v>0.7371491065915995</v>
      </c>
      <c r="AM43" s="27">
        <f t="shared" si="40"/>
        <v>688.9399909973145</v>
      </c>
      <c r="AN43" s="27">
        <f t="shared" si="88"/>
        <v>1</v>
      </c>
      <c r="AO43" s="27">
        <f t="shared" si="89"/>
        <v>0.7841552868565821</v>
      </c>
      <c r="AP43" s="27">
        <f t="shared" si="59"/>
        <v>540.2359362674702</v>
      </c>
      <c r="AQ43" s="145">
        <f>alpha*AG43*AA43*AH43*AJ43</f>
        <v>0.0391000194463441</v>
      </c>
      <c r="AR43" s="144">
        <f>gDM_mol*molPAR_MJ*AQ43</f>
        <v>2.158321073438194</v>
      </c>
      <c r="AS43" s="27">
        <f t="shared" si="43"/>
        <v>1</v>
      </c>
      <c r="AT43" s="143">
        <f t="shared" si="44"/>
        <v>11.66002605874694</v>
      </c>
      <c r="AU43" s="25">
        <f t="shared" si="92"/>
        <v>5.480212247611061</v>
      </c>
      <c r="AW43" s="25">
        <f t="shared" si="93"/>
        <v>0.6</v>
      </c>
      <c r="AX43" s="25">
        <f t="shared" si="94"/>
        <v>0.10453854328947973</v>
      </c>
      <c r="AY43" s="25">
        <f t="shared" si="95"/>
        <v>0.24606193265156998</v>
      </c>
      <c r="AZ43" s="25">
        <f t="shared" si="61"/>
        <v>0.6825819451289501</v>
      </c>
      <c r="BA43" s="25">
        <f t="shared" si="62"/>
        <v>0.07135612221947996</v>
      </c>
      <c r="BB43" s="25">
        <f t="shared" si="96"/>
        <v>0.39104669492922584</v>
      </c>
      <c r="BC43" s="25">
        <f t="shared" si="97"/>
        <v>1.3484716169879818</v>
      </c>
      <c r="BD43" s="25">
        <f t="shared" si="98"/>
        <v>3.7406939356938538</v>
      </c>
      <c r="BG43" s="76">
        <f t="shared" si="116"/>
        <v>30834</v>
      </c>
      <c r="BH43" s="30">
        <f t="shared" si="99"/>
        <v>30</v>
      </c>
      <c r="BI43" s="27">
        <f>'PSP-1 Metdata'!D44</f>
        <v>18.34999990463257</v>
      </c>
      <c r="BJ43" s="28">
        <f>'PSP-1 Metdata'!E44</f>
        <v>22.899999618530273</v>
      </c>
      <c r="BK43" s="28">
        <f>'PSP-1 Metdata'!F44</f>
        <v>13.800000190734863</v>
      </c>
      <c r="BL43" s="28">
        <f>'PSP-1 Metdata'!G44</f>
        <v>47.2</v>
      </c>
      <c r="BM43" s="28">
        <f>'PSP-1 Metdata'!I44</f>
        <v>22.96466636657715</v>
      </c>
      <c r="BN43" s="28">
        <f>'PSP-1 Metdata'!J44</f>
        <v>9</v>
      </c>
      <c r="BO43" s="28">
        <f>'PSP-1 Metdata'!K44</f>
        <v>0</v>
      </c>
      <c r="BP43" s="25">
        <f>'PSP-1 Metdata'!L44</f>
        <v>27.92152518624335</v>
      </c>
      <c r="BQ43" s="25">
        <f>'PSP-1 Metdata'!M44</f>
        <v>15.778362423757994</v>
      </c>
      <c r="BR43" s="25">
        <f>'PSP-1 Metdata'!N44</f>
        <v>6.071581381242678</v>
      </c>
      <c r="BT43" s="25">
        <f t="shared" si="48"/>
        <v>53082.57808162483</v>
      </c>
      <c r="BU43" s="25">
        <f t="shared" si="100"/>
        <v>256.0972273240307</v>
      </c>
      <c r="BV43" s="25">
        <f t="shared" si="101"/>
        <v>0.2</v>
      </c>
      <c r="BW43" s="25">
        <f t="shared" si="102"/>
        <v>2229.659544736092</v>
      </c>
      <c r="BX43" s="25">
        <f t="shared" si="103"/>
        <v>0.01357590509116366</v>
      </c>
      <c r="BY43" s="25">
        <f t="shared" si="104"/>
        <v>17.93198277808946</v>
      </c>
      <c r="BZ43" s="25">
        <f t="shared" si="105"/>
        <v>155.75932006034103</v>
      </c>
      <c r="CA43" s="27">
        <f t="shared" si="106"/>
        <v>3.361018808554409</v>
      </c>
      <c r="CB43" s="139">
        <f t="shared" si="50"/>
        <v>100.83056425663227</v>
      </c>
      <c r="CD43" s="27">
        <f>IF(CJ42&lt;'DadosReais&amp;Graficos'!MinASW,'DadosReais&amp;Graficos'!MinASW,IF(CJ42&gt;'DadosReais&amp;Graficos'!MaxASW,'DadosReais&amp;Graficos'!MaxASW,CJ42))</f>
        <v>103.54835345082085</v>
      </c>
      <c r="CE43" s="25">
        <f t="shared" si="107"/>
        <v>7.08</v>
      </c>
      <c r="CG43" s="27">
        <f t="shared" si="108"/>
        <v>150.74835345082084</v>
      </c>
      <c r="CH43" s="27">
        <f t="shared" si="51"/>
        <v>107.91056425663227</v>
      </c>
      <c r="CI43" s="27">
        <f>MAX(CG43-CH43-'DadosReais&amp;Graficos'!MaxASW,0)</f>
        <v>0</v>
      </c>
      <c r="CJ43" s="27">
        <f t="shared" si="63"/>
        <v>42.837789194188574</v>
      </c>
      <c r="CK43" s="27">
        <f>poolFractn*Month!CI43</f>
        <v>0</v>
      </c>
      <c r="CQ43" s="25">
        <f>SIN(PI()*'DadosReais&amp;Graficos'!Lat/180)</f>
        <v>0.6293203910498374</v>
      </c>
      <c r="CR43" s="25">
        <f>COS(PI()*'DadosReais&amp;Graficos'!Lat/180)</f>
        <v>0.7771459614569709</v>
      </c>
      <c r="CS43" s="25">
        <f t="shared" si="65"/>
        <v>1984</v>
      </c>
      <c r="CT43" s="29">
        <f t="shared" si="66"/>
        <v>30682</v>
      </c>
      <c r="CU43" s="30">
        <f t="shared" si="52"/>
        <v>6</v>
      </c>
      <c r="CV43" s="27">
        <f t="shared" si="109"/>
        <v>166</v>
      </c>
      <c r="CW43" s="25">
        <f t="shared" si="67"/>
        <v>0.3983231954255811</v>
      </c>
      <c r="CX43" s="25">
        <f t="shared" si="110"/>
        <v>-0.3516571006926921</v>
      </c>
      <c r="CY43" s="25">
        <f t="shared" si="68"/>
        <v>0.6143816907595466</v>
      </c>
      <c r="CZ43" s="25">
        <f t="shared" si="69"/>
        <v>53082.57808162483</v>
      </c>
    </row>
    <row r="44" spans="1:104" ht="12.75">
      <c r="A44" s="149">
        <f t="shared" si="111"/>
        <v>30861</v>
      </c>
      <c r="B44" s="60">
        <f t="shared" si="71"/>
        <v>9.25</v>
      </c>
      <c r="C44" s="78">
        <f t="shared" si="53"/>
        <v>9.250000000000002</v>
      </c>
      <c r="D44" s="171">
        <f t="shared" si="30"/>
        <v>442467.1401681882</v>
      </c>
      <c r="E44" s="30">
        <f t="shared" si="70"/>
        <v>1111</v>
      </c>
      <c r="F44" s="27">
        <f t="shared" si="112"/>
        <v>7.95618159451034</v>
      </c>
      <c r="G44" s="27">
        <f t="shared" si="113"/>
        <v>25.862497646316942</v>
      </c>
      <c r="H44" s="27">
        <f t="shared" si="114"/>
        <v>98.32702801267745</v>
      </c>
      <c r="I44" s="27">
        <f t="shared" si="33"/>
        <v>106.28320960718779</v>
      </c>
      <c r="J44" s="27">
        <f t="shared" si="55"/>
        <v>132.14570725350472</v>
      </c>
      <c r="K44" s="27">
        <f t="shared" si="72"/>
        <v>4.000529660272191</v>
      </c>
      <c r="L44" s="27">
        <f t="shared" si="73"/>
        <v>3.182894045135031</v>
      </c>
      <c r="M44" s="27">
        <f t="shared" si="115"/>
        <v>3.449771399057605</v>
      </c>
      <c r="O44" s="25">
        <f t="shared" si="74"/>
        <v>0.013</v>
      </c>
      <c r="P44" s="25">
        <f t="shared" si="75"/>
        <v>0.10343036072863442</v>
      </c>
      <c r="Q44" s="25">
        <f t="shared" si="76"/>
        <v>0.25862497646316945</v>
      </c>
      <c r="S44" s="27">
        <f t="shared" si="57"/>
        <v>88.5031755289626</v>
      </c>
      <c r="T44" s="27">
        <f t="shared" si="77"/>
        <v>15.236236662243504</v>
      </c>
      <c r="U44" s="27">
        <f t="shared" si="78"/>
        <v>0.1743157416497064</v>
      </c>
      <c r="V44" s="27">
        <f t="shared" si="79"/>
        <v>0.45</v>
      </c>
      <c r="W44" s="27">
        <f t="shared" si="80"/>
        <v>180.4157315565247</v>
      </c>
      <c r="X44" s="27">
        <f t="shared" si="81"/>
        <v>19.50440341151618</v>
      </c>
      <c r="Y44" s="27">
        <f t="shared" si="82"/>
        <v>20.25626453726234</v>
      </c>
      <c r="AA44" s="24">
        <f t="shared" si="83"/>
        <v>0.920755521586407</v>
      </c>
      <c r="AB44" s="23">
        <f t="shared" si="84"/>
        <v>0.7043839742472864</v>
      </c>
      <c r="AC44" s="23">
        <f>IF('DadosReais&amp;Graficos'!soilClass&gt;0,0.8-0.1*'DadosReais&amp;Graficos'!soilClass,IF('DadosReais&amp;Graficos'!soilClass&lt;0,SWconst0,999))</f>
        <v>0.6000000000000001</v>
      </c>
      <c r="AD44" s="23">
        <f>IF('DadosReais&amp;Graficos'!soilClass&gt;0,11-2*'DadosReais&amp;Graficos'!soilClass,SWpower0)</f>
        <v>7</v>
      </c>
      <c r="AE44" s="24">
        <f>1/(1+((1-CD44/'DadosReais&amp;Graficos'!MaxASW)/AC44)^AD44)</f>
        <v>0.1314147902840896</v>
      </c>
      <c r="AF44" s="24">
        <f t="shared" si="58"/>
        <v>0.6</v>
      </c>
      <c r="AG44" s="27">
        <f t="shared" si="85"/>
        <v>1</v>
      </c>
      <c r="AH44" s="27">
        <f t="shared" si="86"/>
        <v>1</v>
      </c>
      <c r="AI44" s="27">
        <f t="shared" si="87"/>
        <v>0.9985639539149996</v>
      </c>
      <c r="AJ44" s="24">
        <f t="shared" si="39"/>
        <v>0.13122607258899097</v>
      </c>
      <c r="AM44" s="27">
        <f t="shared" si="40"/>
        <v>848.6300258636475</v>
      </c>
      <c r="AN44" s="27">
        <f t="shared" si="88"/>
        <v>1</v>
      </c>
      <c r="AO44" s="27">
        <f t="shared" si="89"/>
        <v>0.7963692598337018</v>
      </c>
      <c r="AP44" s="27">
        <f t="shared" si="59"/>
        <v>675.8228655696881</v>
      </c>
      <c r="AQ44" s="27">
        <f t="shared" si="90"/>
        <v>0.006645492200182665</v>
      </c>
      <c r="AR44" s="27">
        <f t="shared" si="91"/>
        <v>0.3668311694500831</v>
      </c>
      <c r="AS44" s="27">
        <f t="shared" si="43"/>
        <v>1</v>
      </c>
      <c r="AT44" s="25">
        <f t="shared" si="44"/>
        <v>2.47912892118035</v>
      </c>
      <c r="AU44" s="25">
        <f t="shared" si="92"/>
        <v>1.1651905929547643</v>
      </c>
      <c r="AW44" s="25">
        <f t="shared" si="93"/>
        <v>0.6</v>
      </c>
      <c r="AX44" s="25">
        <f t="shared" si="94"/>
        <v>0.1037580565085185</v>
      </c>
      <c r="AY44" s="25">
        <f t="shared" si="95"/>
        <v>0.422398436883981</v>
      </c>
      <c r="AZ44" s="25">
        <f t="shared" si="61"/>
        <v>0.5233045047418516</v>
      </c>
      <c r="BA44" s="25">
        <f t="shared" si="62"/>
        <v>0.05429705837416732</v>
      </c>
      <c r="BB44" s="25">
        <f t="shared" si="96"/>
        <v>0.06326642164269547</v>
      </c>
      <c r="BC44" s="25">
        <f t="shared" si="97"/>
        <v>0.4921746851360114</v>
      </c>
      <c r="BD44" s="25">
        <f t="shared" si="98"/>
        <v>0.6097494861760574</v>
      </c>
      <c r="BG44" s="76">
        <f t="shared" si="116"/>
        <v>30864</v>
      </c>
      <c r="BH44" s="30">
        <f t="shared" si="99"/>
        <v>31</v>
      </c>
      <c r="BI44" s="27">
        <f>'PSP-1 Metdata'!D45</f>
        <v>19.59999990463257</v>
      </c>
      <c r="BJ44" s="28">
        <f>'PSP-1 Metdata'!E45</f>
        <v>24.5</v>
      </c>
      <c r="BK44" s="28">
        <f>'PSP-1 Metdata'!F45</f>
        <v>14.699999809265137</v>
      </c>
      <c r="BL44" s="28">
        <f>'PSP-1 Metdata'!G45</f>
        <v>9.040000152587892</v>
      </c>
      <c r="BM44" s="28">
        <f>'PSP-1 Metdata'!I45</f>
        <v>27.37516212463379</v>
      </c>
      <c r="BN44" s="28">
        <f>'PSP-1 Metdata'!J45</f>
        <v>2</v>
      </c>
      <c r="BO44" s="28">
        <f>'PSP-1 Metdata'!K45</f>
        <v>0</v>
      </c>
      <c r="BP44" s="25">
        <f>'PSP-1 Metdata'!L45</f>
        <v>30.74260663097627</v>
      </c>
      <c r="BQ44" s="25">
        <f>'PSP-1 Metdata'!M45</f>
        <v>16.72534048915564</v>
      </c>
      <c r="BR44" s="25">
        <f>'PSP-1 Metdata'!N45</f>
        <v>7.008633070910314</v>
      </c>
      <c r="BT44" s="25">
        <f t="shared" si="48"/>
        <v>51987.026278968784</v>
      </c>
      <c r="BU44" s="25">
        <f t="shared" si="100"/>
        <v>331.2614428489954</v>
      </c>
      <c r="BV44" s="25">
        <f t="shared" si="101"/>
        <v>0.2</v>
      </c>
      <c r="BW44" s="25">
        <f t="shared" si="102"/>
        <v>2573.77191227071</v>
      </c>
      <c r="BX44" s="25">
        <f t="shared" si="103"/>
        <v>0.00250858069075049</v>
      </c>
      <c r="BY44" s="25">
        <f t="shared" si="104"/>
        <v>82.92635711397674</v>
      </c>
      <c r="BZ44" s="25">
        <f t="shared" si="105"/>
        <v>39.825059263116664</v>
      </c>
      <c r="CA44" s="27">
        <f t="shared" si="106"/>
        <v>0.8416204888102177</v>
      </c>
      <c r="CB44" s="139">
        <f t="shared" si="50"/>
        <v>26.090235153116748</v>
      </c>
      <c r="CD44" s="27">
        <f>IF(CJ43&lt;'DadosReais&amp;Graficos'!MinASW,'DadosReais&amp;Graficos'!MinASW,IF(CJ43&gt;'DadosReais&amp;Graficos'!MaxASW,'DadosReais&amp;Graficos'!MaxASW,CJ43))</f>
        <v>42.837789194188574</v>
      </c>
      <c r="CE44" s="25">
        <f t="shared" si="107"/>
        <v>1.3560000228881837</v>
      </c>
      <c r="CG44" s="27">
        <f t="shared" si="108"/>
        <v>51.87778934677647</v>
      </c>
      <c r="CH44" s="27">
        <f t="shared" si="51"/>
        <v>27.446235176004933</v>
      </c>
      <c r="CI44" s="27">
        <f>MAX(CG44-CH44-'DadosReais&amp;Graficos'!MaxASW,0)</f>
        <v>0</v>
      </c>
      <c r="CJ44" s="27">
        <f t="shared" si="63"/>
        <v>24.431554170771534</v>
      </c>
      <c r="CK44" s="27">
        <f>poolFractn*Month!CI44</f>
        <v>0</v>
      </c>
      <c r="CQ44" s="25">
        <f>SIN(PI()*'DadosReais&amp;Graficos'!Lat/180)</f>
        <v>0.6293203910498374</v>
      </c>
      <c r="CR44" s="25">
        <f>COS(PI()*'DadosReais&amp;Graficos'!Lat/180)</f>
        <v>0.7771459614569709</v>
      </c>
      <c r="CS44" s="25">
        <f t="shared" si="65"/>
        <v>1984</v>
      </c>
      <c r="CT44" s="29">
        <f t="shared" si="66"/>
        <v>30682</v>
      </c>
      <c r="CU44" s="30">
        <f t="shared" si="52"/>
        <v>7</v>
      </c>
      <c r="CV44" s="27">
        <f t="shared" si="109"/>
        <v>197</v>
      </c>
      <c r="CW44" s="25">
        <f t="shared" si="67"/>
        <v>0.3616269729601193</v>
      </c>
      <c r="CX44" s="25">
        <f t="shared" si="110"/>
        <v>-0.3140969275246581</v>
      </c>
      <c r="CY44" s="25">
        <f t="shared" si="68"/>
        <v>0.6017016930436202</v>
      </c>
      <c r="CZ44" s="25">
        <f t="shared" si="69"/>
        <v>51987.026278968784</v>
      </c>
    </row>
    <row r="45" spans="1:104" ht="12.75">
      <c r="A45" s="149">
        <f t="shared" si="111"/>
        <v>30891</v>
      </c>
      <c r="B45" s="60">
        <f t="shared" si="71"/>
        <v>9.33</v>
      </c>
      <c r="C45" s="78">
        <f t="shared" si="53"/>
        <v>9.333333333333336</v>
      </c>
      <c r="D45" s="171">
        <f t="shared" si="30"/>
        <v>438331.0107352448</v>
      </c>
      <c r="E45" s="30">
        <f t="shared" si="70"/>
        <v>1111</v>
      </c>
      <c r="F45" s="27">
        <f t="shared" si="112"/>
        <v>7.916017655424401</v>
      </c>
      <c r="G45" s="27">
        <f t="shared" si="113"/>
        <v>26.096047354989782</v>
      </c>
      <c r="H45" s="27">
        <f t="shared" si="114"/>
        <v>98.9367774988535</v>
      </c>
      <c r="I45" s="27">
        <f t="shared" si="33"/>
        <v>106.8527951542779</v>
      </c>
      <c r="J45" s="27">
        <f t="shared" si="55"/>
        <v>132.94884250926768</v>
      </c>
      <c r="K45" s="27">
        <f t="shared" si="72"/>
        <v>4.0004460759982114</v>
      </c>
      <c r="L45" s="27">
        <f t="shared" si="73"/>
        <v>3.166760176717511</v>
      </c>
      <c r="M45" s="27">
        <f t="shared" si="115"/>
        <v>3.5532017597862393</v>
      </c>
      <c r="O45" s="25">
        <f t="shared" si="74"/>
        <v>0.013</v>
      </c>
      <c r="P45" s="25">
        <f t="shared" si="75"/>
        <v>0.1029082295205172</v>
      </c>
      <c r="Q45" s="25">
        <f t="shared" si="76"/>
        <v>0.2609604735498978</v>
      </c>
      <c r="S45" s="27">
        <f t="shared" si="57"/>
        <v>89.0520049494631</v>
      </c>
      <c r="T45" s="27">
        <f t="shared" si="77"/>
        <v>15.271082377576658</v>
      </c>
      <c r="U45" s="27">
        <f t="shared" si="78"/>
        <v>0.17362351968552886</v>
      </c>
      <c r="V45" s="27">
        <f t="shared" si="79"/>
        <v>0.45</v>
      </c>
      <c r="W45" s="27">
        <f t="shared" si="80"/>
        <v>181.6867243625745</v>
      </c>
      <c r="X45" s="27">
        <f t="shared" si="81"/>
        <v>19.466434753132976</v>
      </c>
      <c r="Y45" s="27">
        <f t="shared" si="82"/>
        <v>20.349023817172395</v>
      </c>
      <c r="AA45" s="24">
        <f t="shared" si="83"/>
        <v>0.9145675419412385</v>
      </c>
      <c r="AB45" s="23">
        <f t="shared" si="84"/>
        <v>0.6307102432377438</v>
      </c>
      <c r="AC45" s="23">
        <f>IF('DadosReais&amp;Graficos'!soilClass&gt;0,0.8-0.1*'DadosReais&amp;Graficos'!soilClass,IF('DadosReais&amp;Graficos'!soilClass&lt;0,SWconst0,999))</f>
        <v>0.6000000000000001</v>
      </c>
      <c r="AD45" s="23">
        <f>IF('DadosReais&amp;Graficos'!soilClass&gt;0,11-2*'DadosReais&amp;Graficos'!soilClass,SWpower0)</f>
        <v>7</v>
      </c>
      <c r="AE45" s="24">
        <f>1/(1+((1-CD45/'DadosReais&amp;Graficos'!MaxASW)/AC45)^AD45)</f>
        <v>0.06514593061663251</v>
      </c>
      <c r="AF45" s="24">
        <f t="shared" si="58"/>
        <v>0.6</v>
      </c>
      <c r="AG45" s="27">
        <f t="shared" si="85"/>
        <v>1</v>
      </c>
      <c r="AH45" s="27">
        <f t="shared" si="86"/>
        <v>1</v>
      </c>
      <c r="AI45" s="27">
        <f t="shared" si="87"/>
        <v>0.998511579052689</v>
      </c>
      <c r="AJ45" s="24">
        <f t="shared" si="39"/>
        <v>0.06504896604887064</v>
      </c>
      <c r="AM45" s="27">
        <f t="shared" si="40"/>
        <v>764.949987411499</v>
      </c>
      <c r="AN45" s="27">
        <f t="shared" si="88"/>
        <v>1</v>
      </c>
      <c r="AO45" s="27">
        <f t="shared" si="89"/>
        <v>0.7947199405188683</v>
      </c>
      <c r="AP45" s="27">
        <f t="shared" si="59"/>
        <v>607.9210084955755</v>
      </c>
      <c r="AQ45" s="27">
        <f t="shared" si="90"/>
        <v>0.0032720420141824085</v>
      </c>
      <c r="AR45" s="27">
        <f t="shared" si="91"/>
        <v>0.18061671918286892</v>
      </c>
      <c r="AS45" s="27">
        <f t="shared" si="43"/>
        <v>1</v>
      </c>
      <c r="AT45" s="25">
        <f t="shared" si="44"/>
        <v>1.0980069807681183</v>
      </c>
      <c r="AU45" s="25">
        <f t="shared" si="92"/>
        <v>0.5160632809610156</v>
      </c>
      <c r="AW45" s="25">
        <f t="shared" si="93"/>
        <v>0.6</v>
      </c>
      <c r="AX45" s="25">
        <f t="shared" si="94"/>
        <v>0.10363419425105268</v>
      </c>
      <c r="AY45" s="25">
        <f t="shared" si="95"/>
        <v>0.4582663471225586</v>
      </c>
      <c r="AZ45" s="25">
        <f t="shared" si="61"/>
        <v>0.490863418059525</v>
      </c>
      <c r="BA45" s="25">
        <f t="shared" si="62"/>
        <v>0.05087023481791647</v>
      </c>
      <c r="BB45" s="25">
        <f t="shared" si="96"/>
        <v>0.02625226028339127</v>
      </c>
      <c r="BC45" s="25">
        <f t="shared" si="97"/>
        <v>0.23649443465008727</v>
      </c>
      <c r="BD45" s="25">
        <f t="shared" si="98"/>
        <v>0.2533165860275371</v>
      </c>
      <c r="BG45" s="76">
        <f t="shared" si="116"/>
        <v>30895</v>
      </c>
      <c r="BH45" s="30">
        <f t="shared" si="99"/>
        <v>31</v>
      </c>
      <c r="BI45" s="27">
        <f>'PSP-1 Metdata'!D46</f>
        <v>19.75</v>
      </c>
      <c r="BJ45" s="28">
        <f>'PSP-1 Metdata'!E46</f>
        <v>26.100000381469727</v>
      </c>
      <c r="BK45" s="28">
        <f>'PSP-1 Metdata'!F46</f>
        <v>13.399999618530273</v>
      </c>
      <c r="BL45" s="28">
        <f>'PSP-1 Metdata'!G46</f>
        <v>4.879999923706055</v>
      </c>
      <c r="BM45" s="28">
        <f>'PSP-1 Metdata'!I46</f>
        <v>24.675806045532227</v>
      </c>
      <c r="BN45" s="28">
        <f>'PSP-1 Metdata'!J46</f>
        <v>2</v>
      </c>
      <c r="BO45" s="28">
        <f>'PSP-1 Metdata'!K46</f>
        <v>0</v>
      </c>
      <c r="BP45" s="25">
        <f>'PSP-1 Metdata'!L46</f>
        <v>33.80916141263848</v>
      </c>
      <c r="BQ45" s="25">
        <f>'PSP-1 Metdata'!M46</f>
        <v>15.372812437338062</v>
      </c>
      <c r="BR45" s="25">
        <f>'PSP-1 Metdata'!N46</f>
        <v>9.21817448765021</v>
      </c>
      <c r="BT45" s="25">
        <f t="shared" si="48"/>
        <v>48361.75661678577</v>
      </c>
      <c r="BU45" s="25">
        <f t="shared" si="100"/>
        <v>318.1870928065927</v>
      </c>
      <c r="BV45" s="25">
        <f t="shared" si="101"/>
        <v>0.2</v>
      </c>
      <c r="BW45" s="25">
        <f t="shared" si="102"/>
        <v>3385.1791552904015</v>
      </c>
      <c r="BX45" s="25">
        <f t="shared" si="103"/>
        <v>0.0012372040553766544</v>
      </c>
      <c r="BY45" s="25">
        <f t="shared" si="104"/>
        <v>164.85482090916037</v>
      </c>
      <c r="BZ45" s="25">
        <f t="shared" si="105"/>
        <v>24.780535606635127</v>
      </c>
      <c r="CA45" s="27">
        <f t="shared" si="106"/>
        <v>0.48716676091125277</v>
      </c>
      <c r="CB45" s="139">
        <f t="shared" si="50"/>
        <v>15.102169588248836</v>
      </c>
      <c r="CD45" s="27">
        <f>IF(CJ44&lt;'DadosReais&amp;Graficos'!MinASW,'DadosReais&amp;Graficos'!MinASW,IF(CJ44&gt;'DadosReais&amp;Graficos'!MaxASW,'DadosReais&amp;Graficos'!MaxASW,CJ44))</f>
        <v>24.431554170771534</v>
      </c>
      <c r="CE45" s="25">
        <f t="shared" si="107"/>
        <v>0.7319999885559083</v>
      </c>
      <c r="CG45" s="27">
        <f t="shared" si="108"/>
        <v>29.31155409447759</v>
      </c>
      <c r="CH45" s="27">
        <f t="shared" si="51"/>
        <v>15.834169576804744</v>
      </c>
      <c r="CI45" s="27">
        <f>MAX(CG45-CH45-'DadosReais&amp;Graficos'!MaxASW,0)</f>
        <v>0</v>
      </c>
      <c r="CJ45" s="27">
        <f t="shared" si="63"/>
        <v>13.477384517672846</v>
      </c>
      <c r="CK45" s="27">
        <f>poolFractn*Month!CI45</f>
        <v>0</v>
      </c>
      <c r="CQ45" s="25">
        <f>SIN(PI()*'DadosReais&amp;Graficos'!Lat/180)</f>
        <v>0.6293203910498374</v>
      </c>
      <c r="CR45" s="25">
        <f>COS(PI()*'DadosReais&amp;Graficos'!Lat/180)</f>
        <v>0.7771459614569709</v>
      </c>
      <c r="CS45" s="25">
        <f t="shared" si="65"/>
        <v>1984</v>
      </c>
      <c r="CT45" s="29">
        <f t="shared" si="66"/>
        <v>30682</v>
      </c>
      <c r="CU45" s="30">
        <f t="shared" si="52"/>
        <v>8</v>
      </c>
      <c r="CV45" s="27">
        <f t="shared" si="109"/>
        <v>228</v>
      </c>
      <c r="CW45" s="25">
        <f t="shared" si="67"/>
        <v>0.2245322171168967</v>
      </c>
      <c r="CX45" s="25">
        <f t="shared" si="110"/>
        <v>-0.18658678708195917</v>
      </c>
      <c r="CY45" s="25">
        <f t="shared" si="68"/>
        <v>0.5597425534350206</v>
      </c>
      <c r="CZ45" s="25">
        <f t="shared" si="69"/>
        <v>48361.75661678577</v>
      </c>
    </row>
    <row r="46" spans="1:104" ht="12.75">
      <c r="A46" s="149">
        <f t="shared" si="111"/>
        <v>30922</v>
      </c>
      <c r="B46" s="60">
        <f t="shared" si="71"/>
        <v>9.42</v>
      </c>
      <c r="C46" s="78">
        <f t="shared" si="53"/>
        <v>9.41666666666667</v>
      </c>
      <c r="D46" s="171">
        <f t="shared" si="30"/>
        <v>437554.37918832264</v>
      </c>
      <c r="E46" s="30">
        <f t="shared" si="70"/>
        <v>1111</v>
      </c>
      <c r="F46" s="27">
        <f t="shared" si="112"/>
        <v>7.839361686187275</v>
      </c>
      <c r="G46" s="27">
        <f t="shared" si="113"/>
        <v>26.071581316089972</v>
      </c>
      <c r="H46" s="27">
        <f t="shared" si="114"/>
        <v>99.19009408488104</v>
      </c>
      <c r="I46" s="27">
        <f t="shared" si="33"/>
        <v>107.02945577106831</v>
      </c>
      <c r="J46" s="27">
        <f t="shared" si="55"/>
        <v>133.1010370871583</v>
      </c>
      <c r="K46" s="27">
        <f t="shared" si="72"/>
        <v>4.000375103707827</v>
      </c>
      <c r="L46" s="27">
        <f t="shared" si="73"/>
        <v>3.1360387318384593</v>
      </c>
      <c r="M46" s="27">
        <f t="shared" si="115"/>
        <v>3.6561099893067563</v>
      </c>
      <c r="O46" s="25">
        <f t="shared" si="74"/>
        <v>0.013</v>
      </c>
      <c r="P46" s="25">
        <f t="shared" si="75"/>
        <v>0.10191170192043457</v>
      </c>
      <c r="Q46" s="25">
        <f t="shared" si="76"/>
        <v>0.2607158131608997</v>
      </c>
      <c r="S46" s="27">
        <f t="shared" si="57"/>
        <v>89.2800126776607</v>
      </c>
      <c r="T46" s="27">
        <f t="shared" si="77"/>
        <v>15.285519000317313</v>
      </c>
      <c r="U46" s="27">
        <f t="shared" si="78"/>
        <v>0.17295100393696225</v>
      </c>
      <c r="V46" s="27">
        <f t="shared" si="79"/>
        <v>0.45</v>
      </c>
      <c r="W46" s="27">
        <f t="shared" si="80"/>
        <v>182.30015051622027</v>
      </c>
      <c r="X46" s="27">
        <f t="shared" si="81"/>
        <v>19.359308019421615</v>
      </c>
      <c r="Y46" s="27">
        <f t="shared" si="82"/>
        <v>20.387516182287694</v>
      </c>
      <c r="AA46" s="24">
        <f t="shared" si="83"/>
        <v>0.9808679740695874</v>
      </c>
      <c r="AB46" s="23">
        <f t="shared" si="84"/>
        <v>0.6511067480143563</v>
      </c>
      <c r="AC46" s="23">
        <f>IF('DadosReais&amp;Graficos'!soilClass&gt;0,0.8-0.1*'DadosReais&amp;Graficos'!soilClass,IF('DadosReais&amp;Graficos'!soilClass&lt;0,SWconst0,999))</f>
        <v>0.6000000000000001</v>
      </c>
      <c r="AD46" s="23">
        <f>IF('DadosReais&amp;Graficos'!soilClass&gt;0,11-2*'DadosReais&amp;Graficos'!soilClass,SWpower0)</f>
        <v>7</v>
      </c>
      <c r="AE46" s="24">
        <f>1/(1+((1-CD46/'DadosReais&amp;Graficos'!MaxASW)/AC46)^AD46)</f>
        <v>0.043628940962207916</v>
      </c>
      <c r="AF46" s="24">
        <f t="shared" si="58"/>
        <v>0.6</v>
      </c>
      <c r="AG46" s="27">
        <f t="shared" si="85"/>
        <v>1</v>
      </c>
      <c r="AH46" s="27">
        <f t="shared" si="86"/>
        <v>1</v>
      </c>
      <c r="AI46" s="27">
        <f t="shared" si="87"/>
        <v>0.9984577880637403</v>
      </c>
      <c r="AJ46" s="24">
        <f t="shared" si="39"/>
        <v>0.04356165588868963</v>
      </c>
      <c r="AM46" s="27">
        <f t="shared" si="40"/>
        <v>620.7599830627441</v>
      </c>
      <c r="AN46" s="27">
        <f t="shared" si="88"/>
        <v>1</v>
      </c>
      <c r="AO46" s="27">
        <f t="shared" si="89"/>
        <v>0.7915423479235115</v>
      </c>
      <c r="AP46" s="27">
        <f t="shared" si="59"/>
        <v>491.35781449044373</v>
      </c>
      <c r="AQ46" s="27">
        <f t="shared" si="90"/>
        <v>0.0023500528237260527</v>
      </c>
      <c r="AR46" s="27">
        <f t="shared" si="91"/>
        <v>0.1297229158696781</v>
      </c>
      <c r="AS46" s="27">
        <f t="shared" si="43"/>
        <v>1</v>
      </c>
      <c r="AT46" s="25">
        <f t="shared" si="44"/>
        <v>0.6374036843105273</v>
      </c>
      <c r="AU46" s="25">
        <f t="shared" si="92"/>
        <v>0.2995797316259478</v>
      </c>
      <c r="AW46" s="25">
        <f t="shared" si="93"/>
        <v>0.6</v>
      </c>
      <c r="AX46" s="25">
        <f t="shared" si="94"/>
        <v>0.10358300398719548</v>
      </c>
      <c r="AY46" s="25">
        <f t="shared" si="95"/>
        <v>0.47125961136563366</v>
      </c>
      <c r="AZ46" s="25">
        <f t="shared" si="61"/>
        <v>0.47911247882945934</v>
      </c>
      <c r="BA46" s="25">
        <f t="shared" si="62"/>
        <v>0.049627909804907</v>
      </c>
      <c r="BB46" s="25">
        <f t="shared" si="96"/>
        <v>0.014867515900510784</v>
      </c>
      <c r="BC46" s="25">
        <f t="shared" si="97"/>
        <v>0.141179827899065</v>
      </c>
      <c r="BD46" s="25">
        <f t="shared" si="98"/>
        <v>0.14353238782637204</v>
      </c>
      <c r="BG46" s="76">
        <f t="shared" si="116"/>
        <v>30926</v>
      </c>
      <c r="BH46" s="30">
        <f t="shared" si="99"/>
        <v>30</v>
      </c>
      <c r="BI46" s="27">
        <f>'PSP-1 Metdata'!D47</f>
        <v>17.699999809265137</v>
      </c>
      <c r="BJ46" s="28">
        <f>'PSP-1 Metdata'!E47</f>
        <v>24.299999237060547</v>
      </c>
      <c r="BK46" s="28">
        <f>'PSP-1 Metdata'!F47</f>
        <v>11.100000381469727</v>
      </c>
      <c r="BL46" s="28">
        <f>'PSP-1 Metdata'!G47</f>
        <v>2.2399999618530275</v>
      </c>
      <c r="BM46" s="28">
        <f>'PSP-1 Metdata'!I47</f>
        <v>20.691999435424805</v>
      </c>
      <c r="BN46" s="28">
        <f>'PSP-1 Metdata'!J47</f>
        <v>2</v>
      </c>
      <c r="BO46" s="28">
        <f>'PSP-1 Metdata'!K47</f>
        <v>0</v>
      </c>
      <c r="BP46" s="25">
        <f>'PSP-1 Metdata'!L47</f>
        <v>30.37689914141491</v>
      </c>
      <c r="BQ46" s="25">
        <f>'PSP-1 Metdata'!M47</f>
        <v>13.213632150551243</v>
      </c>
      <c r="BR46" s="25">
        <f>'PSP-1 Metdata'!N47</f>
        <v>8.581633495431834</v>
      </c>
      <c r="BT46" s="25">
        <f t="shared" si="48"/>
        <v>43912.27946472623</v>
      </c>
      <c r="BU46" s="25">
        <f t="shared" si="100"/>
        <v>286.9697166742844</v>
      </c>
      <c r="BV46" s="25">
        <f t="shared" si="101"/>
        <v>0.2</v>
      </c>
      <c r="BW46" s="25">
        <f t="shared" si="102"/>
        <v>3151.4229705672383</v>
      </c>
      <c r="BX46" s="25">
        <f t="shared" si="103"/>
        <v>0.0008204867272669645</v>
      </c>
      <c r="BY46" s="25">
        <f t="shared" si="104"/>
        <v>246.9577517752159</v>
      </c>
      <c r="BZ46" s="25">
        <f t="shared" si="105"/>
        <v>15.317423000731628</v>
      </c>
      <c r="CA46" s="27">
        <f t="shared" si="106"/>
        <v>0.27342396727136287</v>
      </c>
      <c r="CB46" s="139">
        <f t="shared" si="50"/>
        <v>8.202719018140886</v>
      </c>
      <c r="CD46" s="27">
        <f>IF(CJ45&lt;'DadosReais&amp;Graficos'!MinASW,'DadosReais&amp;Graficos'!MinASW,IF(CJ45&gt;'DadosReais&amp;Graficos'!MaxASW,'DadosReais&amp;Graficos'!MaxASW,CJ45))</f>
        <v>13.477384517672846</v>
      </c>
      <c r="CE46" s="25">
        <f t="shared" si="107"/>
        <v>0.33599999427795413</v>
      </c>
      <c r="CG46" s="27">
        <f t="shared" si="108"/>
        <v>15.717384479525872</v>
      </c>
      <c r="CH46" s="27">
        <f t="shared" si="51"/>
        <v>8.53871901241884</v>
      </c>
      <c r="CI46" s="27">
        <f>MAX(CG46-CH46-'DadosReais&amp;Graficos'!MaxASW,0)</f>
        <v>0</v>
      </c>
      <c r="CJ46" s="27">
        <f t="shared" si="63"/>
        <v>7.178665467107033</v>
      </c>
      <c r="CK46" s="27">
        <f>poolFractn*Month!CI46</f>
        <v>0</v>
      </c>
      <c r="CQ46" s="25">
        <f>SIN(PI()*'DadosReais&amp;Graficos'!Lat/180)</f>
        <v>0.6293203910498374</v>
      </c>
      <c r="CR46" s="25">
        <f>COS(PI()*'DadosReais&amp;Graficos'!Lat/180)</f>
        <v>0.7771459614569709</v>
      </c>
      <c r="CS46" s="25">
        <f t="shared" si="65"/>
        <v>1984</v>
      </c>
      <c r="CT46" s="29">
        <f t="shared" si="66"/>
        <v>30682</v>
      </c>
      <c r="CU46" s="30">
        <f t="shared" si="52"/>
        <v>9</v>
      </c>
      <c r="CV46" s="27">
        <f t="shared" si="109"/>
        <v>258</v>
      </c>
      <c r="CW46" s="25">
        <f t="shared" si="67"/>
        <v>0.031962948421114835</v>
      </c>
      <c r="CX46" s="25">
        <f t="shared" si="110"/>
        <v>-0.025896316893613495</v>
      </c>
      <c r="CY46" s="25">
        <f t="shared" si="68"/>
        <v>0.5082439752861831</v>
      </c>
      <c r="CZ46" s="25">
        <f t="shared" si="69"/>
        <v>43912.27946472623</v>
      </c>
    </row>
    <row r="47" spans="1:104" ht="12.75">
      <c r="A47" s="149">
        <f t="shared" si="111"/>
        <v>30953</v>
      </c>
      <c r="B47" s="60">
        <f t="shared" si="71"/>
        <v>9.5</v>
      </c>
      <c r="C47" s="78">
        <f t="shared" si="53"/>
        <v>9.500000000000004</v>
      </c>
      <c r="D47" s="171">
        <f t="shared" si="30"/>
        <v>437875.82996167854</v>
      </c>
      <c r="E47" s="30">
        <f t="shared" si="70"/>
        <v>1111</v>
      </c>
      <c r="F47" s="27">
        <f t="shared" si="112"/>
        <v>7.752317500167351</v>
      </c>
      <c r="G47" s="27">
        <f t="shared" si="113"/>
        <v>25.95204533082814</v>
      </c>
      <c r="H47" s="27">
        <f t="shared" si="114"/>
        <v>99.33362647270741</v>
      </c>
      <c r="I47" s="27">
        <f t="shared" si="33"/>
        <v>107.08594397287476</v>
      </c>
      <c r="J47" s="27">
        <f t="shared" si="55"/>
        <v>133.0379893037029</v>
      </c>
      <c r="K47" s="27">
        <f t="shared" si="72"/>
        <v>4.000314937882112</v>
      </c>
      <c r="L47" s="27">
        <f t="shared" si="73"/>
        <v>3.101171149912437</v>
      </c>
      <c r="M47" s="27">
        <f t="shared" si="115"/>
        <v>3.758021691227191</v>
      </c>
      <c r="O47" s="25">
        <f t="shared" si="74"/>
        <v>0.013</v>
      </c>
      <c r="P47" s="25">
        <f t="shared" si="75"/>
        <v>0.10078012750217556</v>
      </c>
      <c r="Q47" s="25">
        <f t="shared" si="76"/>
        <v>0.2595204533082814</v>
      </c>
      <c r="S47" s="27">
        <f t="shared" si="57"/>
        <v>89.40920474591125</v>
      </c>
      <c r="T47" s="27">
        <f t="shared" si="77"/>
        <v>15.29368865891097</v>
      </c>
      <c r="U47" s="27">
        <f t="shared" si="78"/>
        <v>0.172297633406301</v>
      </c>
      <c r="V47" s="27">
        <f t="shared" si="79"/>
        <v>0.45</v>
      </c>
      <c r="W47" s="27">
        <f t="shared" si="80"/>
        <v>182.70817269732098</v>
      </c>
      <c r="X47" s="27">
        <f t="shared" si="81"/>
        <v>19.232439231296937</v>
      </c>
      <c r="Y47" s="27">
        <f t="shared" si="82"/>
        <v>20.40931505705601</v>
      </c>
      <c r="AA47" s="24">
        <f t="shared" si="83"/>
        <v>0.995324925901046</v>
      </c>
      <c r="AB47" s="23">
        <f t="shared" si="84"/>
        <v>0.708724355953685</v>
      </c>
      <c r="AC47" s="23">
        <f>IF('DadosReais&amp;Graficos'!soilClass&gt;0,0.8-0.1*'DadosReais&amp;Graficos'!soilClass,IF('DadosReais&amp;Graficos'!soilClass&lt;0,SWconst0,999))</f>
        <v>0.6000000000000001</v>
      </c>
      <c r="AD47" s="23">
        <f>IF('DadosReais&amp;Graficos'!soilClass&gt;0,11-2*'DadosReais&amp;Graficos'!soilClass,SWpower0)</f>
        <v>7</v>
      </c>
      <c r="AE47" s="24">
        <f>1/(1+((1-CD47/'DadosReais&amp;Graficos'!MaxASW)/AC47)^AD47)</f>
        <v>0.03489457311857541</v>
      </c>
      <c r="AF47" s="24">
        <f t="shared" si="58"/>
        <v>0.6</v>
      </c>
      <c r="AG47" s="27">
        <f t="shared" si="85"/>
        <v>1</v>
      </c>
      <c r="AH47" s="27">
        <f t="shared" si="86"/>
        <v>1</v>
      </c>
      <c r="AI47" s="27">
        <f t="shared" si="87"/>
        <v>0.998402555910543</v>
      </c>
      <c r="AJ47" s="24">
        <f t="shared" si="39"/>
        <v>0.03483883098899302</v>
      </c>
      <c r="AM47" s="27">
        <f t="shared" si="40"/>
        <v>420.21000576019287</v>
      </c>
      <c r="AN47" s="27">
        <f t="shared" si="88"/>
        <v>1</v>
      </c>
      <c r="AO47" s="27">
        <f t="shared" si="89"/>
        <v>0.7878762768886339</v>
      </c>
      <c r="AP47" s="27">
        <f t="shared" si="59"/>
        <v>331.07349484969217</v>
      </c>
      <c r="AQ47" s="27">
        <f t="shared" si="90"/>
        <v>0.00190717762799292</v>
      </c>
      <c r="AR47" s="27">
        <f t="shared" si="91"/>
        <v>0.10527620506520917</v>
      </c>
      <c r="AS47" s="27">
        <f t="shared" si="43"/>
        <v>1</v>
      </c>
      <c r="AT47" s="25">
        <f t="shared" si="44"/>
        <v>0.3485416113545166</v>
      </c>
      <c r="AU47" s="25">
        <f t="shared" si="92"/>
        <v>0.16381455733662278</v>
      </c>
      <c r="AW47" s="25">
        <f t="shared" si="93"/>
        <v>0.6</v>
      </c>
      <c r="AX47" s="25">
        <f t="shared" si="94"/>
        <v>0.1035540681195798</v>
      </c>
      <c r="AY47" s="25">
        <f t="shared" si="95"/>
        <v>0.4767469700407311</v>
      </c>
      <c r="AZ47" s="25">
        <f t="shared" si="61"/>
        <v>0.4741525993836215</v>
      </c>
      <c r="BA47" s="25">
        <f t="shared" si="62"/>
        <v>0.04910043057564745</v>
      </c>
      <c r="BB47" s="25">
        <f t="shared" si="96"/>
        <v>0.008043365299787265</v>
      </c>
      <c r="BC47" s="25">
        <f t="shared" si="97"/>
        <v>0.07809809385879853</v>
      </c>
      <c r="BD47" s="25">
        <f t="shared" si="98"/>
        <v>0.077673098178037</v>
      </c>
      <c r="BG47" s="76">
        <f t="shared" si="116"/>
        <v>30956</v>
      </c>
      <c r="BH47" s="30">
        <f t="shared" si="99"/>
        <v>31</v>
      </c>
      <c r="BI47" s="27">
        <f>'PSP-1 Metdata'!D48</f>
        <v>15.199999809265137</v>
      </c>
      <c r="BJ47" s="28">
        <f>'PSP-1 Metdata'!E48</f>
        <v>21.299999237060547</v>
      </c>
      <c r="BK47" s="28">
        <f>'PSP-1 Metdata'!F48</f>
        <v>9.100000381469727</v>
      </c>
      <c r="BL47" s="28">
        <f>'PSP-1 Metdata'!G48</f>
        <v>58.720001220703125</v>
      </c>
      <c r="BM47" s="28">
        <f>'PSP-1 Metdata'!I48</f>
        <v>13.555161476135254</v>
      </c>
      <c r="BN47" s="28">
        <f>'PSP-1 Metdata'!J48</f>
        <v>9</v>
      </c>
      <c r="BO47" s="28">
        <f>'PSP-1 Metdata'!K48</f>
        <v>0</v>
      </c>
      <c r="BP47" s="25">
        <f>'PSP-1 Metdata'!L48</f>
        <v>25.329132796778833</v>
      </c>
      <c r="BQ47" s="25">
        <f>'PSP-1 Metdata'!M48</f>
        <v>11.557588529951161</v>
      </c>
      <c r="BR47" s="25">
        <f>'PSP-1 Metdata'!N48</f>
        <v>6.885772133413836</v>
      </c>
      <c r="BT47" s="25">
        <f t="shared" si="48"/>
        <v>39224.4387806368</v>
      </c>
      <c r="BU47" s="25">
        <f t="shared" si="100"/>
        <v>186.4635905067792</v>
      </c>
      <c r="BV47" s="25">
        <f t="shared" si="101"/>
        <v>0.2</v>
      </c>
      <c r="BW47" s="25">
        <f t="shared" si="102"/>
        <v>2528.6538376270037</v>
      </c>
      <c r="BX47" s="25">
        <f t="shared" si="103"/>
        <v>0.000648895961319763</v>
      </c>
      <c r="BY47" s="25">
        <f t="shared" si="104"/>
        <v>311.41581874732</v>
      </c>
      <c r="BZ47" s="25">
        <f t="shared" si="105"/>
        <v>9.43713697192272</v>
      </c>
      <c r="CA47" s="27">
        <f t="shared" si="106"/>
        <v>0.15047414691856378</v>
      </c>
      <c r="CB47" s="139">
        <f t="shared" si="50"/>
        <v>4.6646985544754775</v>
      </c>
      <c r="CD47" s="27">
        <f>IF(CJ46&lt;'DadosReais&amp;Graficos'!MinASW,'DadosReais&amp;Graficos'!MinASW,IF(CJ46&gt;'DadosReais&amp;Graficos'!MaxASW,'DadosReais&amp;Graficos'!MaxASW,CJ46))</f>
        <v>7.178665467107033</v>
      </c>
      <c r="CE47" s="25">
        <f t="shared" si="107"/>
        <v>8.808000183105468</v>
      </c>
      <c r="CG47" s="27">
        <f t="shared" si="108"/>
        <v>65.89866668781016</v>
      </c>
      <c r="CH47" s="27">
        <f t="shared" si="51"/>
        <v>13.472698737580945</v>
      </c>
      <c r="CI47" s="27">
        <f>MAX(CG47-CH47-'DadosReais&amp;Graficos'!MaxASW,0)</f>
        <v>0</v>
      </c>
      <c r="CJ47" s="27">
        <f t="shared" si="63"/>
        <v>52.42596795022922</v>
      </c>
      <c r="CK47" s="27">
        <f>poolFractn*Month!CI47</f>
        <v>0</v>
      </c>
      <c r="CQ47" s="25">
        <f>SIN(PI()*'DadosReais&amp;Graficos'!Lat/180)</f>
        <v>0.6293203910498374</v>
      </c>
      <c r="CR47" s="25">
        <f>COS(PI()*'DadosReais&amp;Graficos'!Lat/180)</f>
        <v>0.7771459614569709</v>
      </c>
      <c r="CS47" s="25">
        <f t="shared" si="65"/>
        <v>1984</v>
      </c>
      <c r="CT47" s="29">
        <f t="shared" si="66"/>
        <v>30682</v>
      </c>
      <c r="CU47" s="30">
        <f t="shared" si="52"/>
        <v>10</v>
      </c>
      <c r="CV47" s="27">
        <f t="shared" si="109"/>
        <v>289</v>
      </c>
      <c r="CW47" s="25">
        <f t="shared" si="67"/>
        <v>-0.1751405350728837</v>
      </c>
      <c r="CX47" s="25">
        <f t="shared" si="110"/>
        <v>0.14405256542254885</v>
      </c>
      <c r="CY47" s="25">
        <f t="shared" si="68"/>
        <v>0.4539865599610741</v>
      </c>
      <c r="CZ47" s="25">
        <f t="shared" si="69"/>
        <v>39224.4387806368</v>
      </c>
    </row>
    <row r="48" spans="1:104" ht="12.75">
      <c r="A48" s="149">
        <f t="shared" si="111"/>
        <v>30983</v>
      </c>
      <c r="B48" s="60">
        <f t="shared" si="71"/>
        <v>9.58</v>
      </c>
      <c r="C48" s="78">
        <f t="shared" si="53"/>
        <v>9.583333333333337</v>
      </c>
      <c r="D48" s="171">
        <f t="shared" si="30"/>
        <v>438880.1153150173</v>
      </c>
      <c r="E48" s="30">
        <f t="shared" si="70"/>
        <v>1111</v>
      </c>
      <c r="F48" s="27">
        <f t="shared" si="112"/>
        <v>7.659580737964963</v>
      </c>
      <c r="G48" s="27">
        <f t="shared" si="113"/>
        <v>25.770622971378657</v>
      </c>
      <c r="H48" s="27">
        <f t="shared" si="114"/>
        <v>99.41129957088545</v>
      </c>
      <c r="I48" s="27">
        <f t="shared" si="33"/>
        <v>107.0708803088504</v>
      </c>
      <c r="J48" s="27">
        <f t="shared" si="55"/>
        <v>132.84150328022906</v>
      </c>
      <c r="K48" s="27">
        <f t="shared" si="72"/>
        <v>4.000264015541428</v>
      </c>
      <c r="L48" s="27">
        <f t="shared" si="73"/>
        <v>3.06403452002155</v>
      </c>
      <c r="M48" s="27">
        <f t="shared" si="115"/>
        <v>3.8588018187293662</v>
      </c>
      <c r="O48" s="25">
        <f t="shared" si="74"/>
        <v>0.013</v>
      </c>
      <c r="P48" s="25">
        <f t="shared" si="75"/>
        <v>0.09957454959354452</v>
      </c>
      <c r="Q48" s="25">
        <f t="shared" si="76"/>
        <v>0.2577062297137866</v>
      </c>
      <c r="S48" s="27">
        <f t="shared" si="57"/>
        <v>89.47911752554946</v>
      </c>
      <c r="T48" s="27">
        <f t="shared" si="77"/>
        <v>15.298106597470293</v>
      </c>
      <c r="U48" s="27">
        <f t="shared" si="78"/>
        <v>0.1716628630663551</v>
      </c>
      <c r="V48" s="27">
        <f t="shared" si="79"/>
        <v>0.45</v>
      </c>
      <c r="W48" s="27">
        <f t="shared" si="80"/>
        <v>182.99126947866696</v>
      </c>
      <c r="X48" s="27">
        <f t="shared" si="81"/>
        <v>19.094741162991326</v>
      </c>
      <c r="Y48" s="27">
        <f t="shared" si="82"/>
        <v>20.421108173210754</v>
      </c>
      <c r="AA48" s="24">
        <f t="shared" si="83"/>
        <v>0.9359773719292264</v>
      </c>
      <c r="AB48" s="23">
        <f t="shared" si="84"/>
        <v>0.81328453889973</v>
      </c>
      <c r="AC48" s="23">
        <f>IF('DadosReais&amp;Graficos'!soilClass&gt;0,0.8-0.1*'DadosReais&amp;Graficos'!soilClass,IF('DadosReais&amp;Graficos'!soilClass&lt;0,SWconst0,999))</f>
        <v>0.6000000000000001</v>
      </c>
      <c r="AD48" s="23">
        <f>IF('DadosReais&amp;Graficos'!soilClass&gt;0,11-2*'DadosReais&amp;Graficos'!soilClass,SWpower0)</f>
        <v>7</v>
      </c>
      <c r="AE48" s="24">
        <f>1/(1+((1-CD48/'DadosReais&amp;Graficos'!MaxASW)/AC48)^AD48)</f>
        <v>0.19032997142276925</v>
      </c>
      <c r="AF48" s="24">
        <f t="shared" si="58"/>
        <v>0.6</v>
      </c>
      <c r="AG48" s="27">
        <f t="shared" si="85"/>
        <v>1</v>
      </c>
      <c r="AH48" s="27">
        <f t="shared" si="86"/>
        <v>1</v>
      </c>
      <c r="AI48" s="27">
        <f t="shared" si="87"/>
        <v>0.9983458573524471</v>
      </c>
      <c r="AJ48" s="24">
        <f t="shared" si="39"/>
        <v>0.19001513849993132</v>
      </c>
      <c r="AM48" s="27">
        <f t="shared" si="40"/>
        <v>220.72999477386475</v>
      </c>
      <c r="AN48" s="27">
        <f t="shared" si="88"/>
        <v>1</v>
      </c>
      <c r="AO48" s="27">
        <f t="shared" si="89"/>
        <v>0.783900701144276</v>
      </c>
      <c r="AP48" s="27">
        <f t="shared" si="59"/>
        <v>173.03039766680496</v>
      </c>
      <c r="AQ48" s="27">
        <f t="shared" si="90"/>
        <v>0.009781742847796352</v>
      </c>
      <c r="AR48" s="27">
        <f t="shared" si="91"/>
        <v>0.5399522051983586</v>
      </c>
      <c r="AS48" s="27">
        <f t="shared" si="43"/>
        <v>1</v>
      </c>
      <c r="AT48" s="25">
        <f t="shared" si="44"/>
        <v>0.9342814478654026</v>
      </c>
      <c r="AU48" s="25">
        <f t="shared" si="92"/>
        <v>0.43911228049673917</v>
      </c>
      <c r="AW48" s="25">
        <f t="shared" si="93"/>
        <v>0.6</v>
      </c>
      <c r="AX48" s="25">
        <f t="shared" si="94"/>
        <v>0.10353843016074066</v>
      </c>
      <c r="AY48" s="25">
        <f t="shared" si="95"/>
        <v>0.39493809614654196</v>
      </c>
      <c r="AZ48" s="25">
        <f t="shared" si="61"/>
        <v>0.5482925535863079</v>
      </c>
      <c r="BA48" s="25">
        <f t="shared" si="62"/>
        <v>0.05676935026715013</v>
      </c>
      <c r="BB48" s="25">
        <f t="shared" si="96"/>
        <v>0.024928118858126465</v>
      </c>
      <c r="BC48" s="25">
        <f t="shared" si="97"/>
        <v>0.17342216805394847</v>
      </c>
      <c r="BD48" s="25">
        <f t="shared" si="98"/>
        <v>0.24076199358466424</v>
      </c>
      <c r="BG48" s="76">
        <f t="shared" si="116"/>
        <v>30987</v>
      </c>
      <c r="BH48" s="30">
        <f t="shared" si="99"/>
        <v>30</v>
      </c>
      <c r="BI48" s="27">
        <f>'PSP-1 Metdata'!D49</f>
        <v>13.149999618530273</v>
      </c>
      <c r="BJ48" s="28">
        <f>'PSP-1 Metdata'!E49</f>
        <v>17.299999237060547</v>
      </c>
      <c r="BK48" s="28">
        <f>'PSP-1 Metdata'!F49</f>
        <v>9</v>
      </c>
      <c r="BL48" s="28">
        <f>'PSP-1 Metdata'!G49</f>
        <v>133.9199951171875</v>
      </c>
      <c r="BM48" s="28">
        <f>'PSP-1 Metdata'!I49</f>
        <v>7.357666492462158</v>
      </c>
      <c r="BN48" s="28">
        <f>'PSP-1 Metdata'!J49</f>
        <v>15</v>
      </c>
      <c r="BO48" s="28">
        <f>'PSP-1 Metdata'!K49</f>
        <v>0</v>
      </c>
      <c r="BP48" s="25">
        <f>'PSP-1 Metdata'!L49</f>
        <v>19.74677914314186</v>
      </c>
      <c r="BQ48" s="25">
        <f>'PSP-1 Metdata'!M49</f>
        <v>11.479809370392651</v>
      </c>
      <c r="BR48" s="25">
        <f>'PSP-1 Metdata'!N49</f>
        <v>4.133484886374605</v>
      </c>
      <c r="BT48" s="25">
        <f t="shared" si="48"/>
        <v>35312.835538885876</v>
      </c>
      <c r="BU48" s="25">
        <f t="shared" si="100"/>
        <v>76.68537386322376</v>
      </c>
      <c r="BV48" s="25">
        <f t="shared" si="101"/>
        <v>0.2</v>
      </c>
      <c r="BW48" s="25">
        <f t="shared" si="102"/>
        <v>1517.9346946414828</v>
      </c>
      <c r="BX48" s="25">
        <f t="shared" si="103"/>
        <v>0.003496774436579372</v>
      </c>
      <c r="BY48" s="25">
        <f t="shared" si="104"/>
        <v>60.395567980542886</v>
      </c>
      <c r="BZ48" s="25">
        <f t="shared" si="105"/>
        <v>27.926594177969253</v>
      </c>
      <c r="CA48" s="27">
        <f t="shared" si="106"/>
        <v>0.4008809867348927</v>
      </c>
      <c r="CB48" s="139">
        <f t="shared" si="50"/>
        <v>12.02642960204678</v>
      </c>
      <c r="CD48" s="27">
        <f>IF(CJ47&lt;'DadosReais&amp;Graficos'!MinASW,'DadosReais&amp;Graficos'!MinASW,IF(CJ47&gt;'DadosReais&amp;Graficos'!MaxASW,'DadosReais&amp;Graficos'!MaxASW,CJ47))</f>
        <v>52.42596795022922</v>
      </c>
      <c r="CE48" s="25">
        <f t="shared" si="107"/>
        <v>20.087999267578127</v>
      </c>
      <c r="CG48" s="27">
        <f t="shared" si="108"/>
        <v>186.34596306741673</v>
      </c>
      <c r="CH48" s="27">
        <f t="shared" si="51"/>
        <v>32.11442886962491</v>
      </c>
      <c r="CI48" s="27">
        <f>MAX(CG48-CH48-'DadosReais&amp;Graficos'!MaxASW,0)</f>
        <v>0</v>
      </c>
      <c r="CJ48" s="27">
        <f t="shared" si="63"/>
        <v>154.23153419779183</v>
      </c>
      <c r="CK48" s="27">
        <f>poolFractn*Month!CI48</f>
        <v>0</v>
      </c>
      <c r="CQ48" s="25">
        <f>SIN(PI()*'DadosReais&amp;Graficos'!Lat/180)</f>
        <v>0.6293203910498374</v>
      </c>
      <c r="CR48" s="25">
        <f>COS(PI()*'DadosReais&amp;Graficos'!Lat/180)</f>
        <v>0.7771459614569709</v>
      </c>
      <c r="CS48" s="25">
        <f t="shared" si="65"/>
        <v>1984</v>
      </c>
      <c r="CT48" s="29">
        <f t="shared" si="66"/>
        <v>30682</v>
      </c>
      <c r="CU48" s="30">
        <f t="shared" si="52"/>
        <v>11</v>
      </c>
      <c r="CV48" s="27">
        <f t="shared" si="109"/>
        <v>319</v>
      </c>
      <c r="CW48" s="25">
        <f t="shared" si="67"/>
        <v>-0.3297749470179898</v>
      </c>
      <c r="CX48" s="25">
        <f t="shared" si="110"/>
        <v>0.2828703751751745</v>
      </c>
      <c r="CY48" s="25">
        <f t="shared" si="68"/>
        <v>0.40871337429266064</v>
      </c>
      <c r="CZ48" s="25">
        <f t="shared" si="69"/>
        <v>35312.835538885876</v>
      </c>
    </row>
    <row r="49" spans="1:104" ht="12.75">
      <c r="A49" s="149">
        <f t="shared" si="111"/>
        <v>31014</v>
      </c>
      <c r="B49" s="60">
        <f t="shared" si="71"/>
        <v>9.67</v>
      </c>
      <c r="C49" s="78">
        <f t="shared" si="53"/>
        <v>9.666666666666671</v>
      </c>
      <c r="D49" s="171">
        <f t="shared" si="30"/>
        <v>438461.3956534106</v>
      </c>
      <c r="E49" s="30">
        <f t="shared" si="70"/>
        <v>1111</v>
      </c>
      <c r="F49" s="27">
        <f t="shared" si="112"/>
        <v>7.5849343072295445</v>
      </c>
      <c r="G49" s="27">
        <f t="shared" si="113"/>
        <v>25.68633890971882</v>
      </c>
      <c r="H49" s="27">
        <f t="shared" si="114"/>
        <v>99.65206156447012</v>
      </c>
      <c r="I49" s="27">
        <f t="shared" si="33"/>
        <v>107.23699587169966</v>
      </c>
      <c r="J49" s="27">
        <f t="shared" si="55"/>
        <v>132.92333478141848</v>
      </c>
      <c r="K49" s="27">
        <f t="shared" si="72"/>
        <v>4.000220986186296</v>
      </c>
      <c r="L49" s="27">
        <f t="shared" si="73"/>
        <v>3.034141339462404</v>
      </c>
      <c r="M49" s="27">
        <f t="shared" si="115"/>
        <v>3.9583763683229107</v>
      </c>
      <c r="O49" s="25">
        <f t="shared" si="74"/>
        <v>0.013</v>
      </c>
      <c r="P49" s="25">
        <f t="shared" si="75"/>
        <v>0.09860414599398408</v>
      </c>
      <c r="Q49" s="25">
        <f t="shared" si="76"/>
        <v>0.2568633890971882</v>
      </c>
      <c r="S49" s="27">
        <f t="shared" si="57"/>
        <v>89.69582499052215</v>
      </c>
      <c r="T49" s="27">
        <f t="shared" si="77"/>
        <v>15.311786994798146</v>
      </c>
      <c r="U49" s="27">
        <f t="shared" si="78"/>
        <v>0.1710461634058007</v>
      </c>
      <c r="V49" s="27">
        <f t="shared" si="79"/>
        <v>0.45</v>
      </c>
      <c r="W49" s="27">
        <f t="shared" si="80"/>
        <v>183.57101946308634</v>
      </c>
      <c r="X49" s="27">
        <f t="shared" si="81"/>
        <v>18.99010546169858</v>
      </c>
      <c r="Y49" s="27">
        <f t="shared" si="82"/>
        <v>20.45764783062647</v>
      </c>
      <c r="AA49" s="24">
        <f t="shared" si="83"/>
        <v>0.8010326449673264</v>
      </c>
      <c r="AB49" s="23">
        <f t="shared" si="84"/>
        <v>0.8206092887491174</v>
      </c>
      <c r="AC49" s="23">
        <f>IF('DadosReais&amp;Graficos'!soilClass&gt;0,0.8-0.1*'DadosReais&amp;Graficos'!soilClass,IF('DadosReais&amp;Graficos'!soilClass&lt;0,SWconst0,999))</f>
        <v>0.6000000000000001</v>
      </c>
      <c r="AD49" s="23">
        <f>IF('DadosReais&amp;Graficos'!soilClass&gt;0,11-2*'DadosReais&amp;Graficos'!soilClass,SWpower0)</f>
        <v>7</v>
      </c>
      <c r="AE49" s="24">
        <f>1/(1+((1-CD49/'DadosReais&amp;Graficos'!MaxASW)/AC49)^AD49)</f>
        <v>0.9988273020503707</v>
      </c>
      <c r="AF49" s="24">
        <f t="shared" si="58"/>
        <v>0.6</v>
      </c>
      <c r="AG49" s="27">
        <f t="shared" si="85"/>
        <v>1</v>
      </c>
      <c r="AH49" s="27">
        <f t="shared" si="86"/>
        <v>0.8666666666666667</v>
      </c>
      <c r="AI49" s="27">
        <f t="shared" si="87"/>
        <v>0.9982876669466249</v>
      </c>
      <c r="AJ49" s="24">
        <f t="shared" si="39"/>
        <v>0.8192041323400856</v>
      </c>
      <c r="AM49" s="27">
        <f t="shared" si="40"/>
        <v>218.0100064277649</v>
      </c>
      <c r="AN49" s="27">
        <f t="shared" si="88"/>
        <v>1</v>
      </c>
      <c r="AO49" s="27">
        <f t="shared" si="89"/>
        <v>0.7806464943995359</v>
      </c>
      <c r="AP49" s="27">
        <f t="shared" si="59"/>
        <v>170.18874726185496</v>
      </c>
      <c r="AQ49" s="27">
        <f t="shared" si="90"/>
        <v>0.031279307721401854</v>
      </c>
      <c r="AR49" s="27">
        <f t="shared" si="91"/>
        <v>1.7266177862213823</v>
      </c>
      <c r="AS49" s="27">
        <f t="shared" si="43"/>
        <v>1</v>
      </c>
      <c r="AT49" s="25">
        <f t="shared" si="44"/>
        <v>2.938509180370543</v>
      </c>
      <c r="AU49" s="25">
        <f t="shared" si="92"/>
        <v>1.3810993147741553</v>
      </c>
      <c r="AW49" s="25">
        <f t="shared" si="93"/>
        <v>0.6</v>
      </c>
      <c r="AX49" s="25">
        <f t="shared" si="94"/>
        <v>0.10349004992343352</v>
      </c>
      <c r="AY49" s="25">
        <f t="shared" si="95"/>
        <v>0.23289548211140304</v>
      </c>
      <c r="AZ49" s="25">
        <f t="shared" si="61"/>
        <v>0.6951621520663671</v>
      </c>
      <c r="BA49" s="25">
        <f t="shared" si="62"/>
        <v>0.07194236582222979</v>
      </c>
      <c r="BB49" s="25">
        <f t="shared" si="96"/>
        <v>0.09935955214031317</v>
      </c>
      <c r="BC49" s="25">
        <f t="shared" si="97"/>
        <v>0.3216517907580553</v>
      </c>
      <c r="BD49" s="25">
        <f t="shared" si="98"/>
        <v>0.9600879718757868</v>
      </c>
      <c r="BG49" s="76">
        <f t="shared" si="116"/>
        <v>31017</v>
      </c>
      <c r="BH49" s="30">
        <f t="shared" si="99"/>
        <v>31</v>
      </c>
      <c r="BI49" s="27">
        <f>'PSP-1 Metdata'!D50</f>
        <v>11.150000095367432</v>
      </c>
      <c r="BJ49" s="28">
        <f>'PSP-1 Metdata'!E50</f>
        <v>15.600000381469727</v>
      </c>
      <c r="BK49" s="28">
        <f>'PSP-1 Metdata'!F50</f>
        <v>6.699999809265137</v>
      </c>
      <c r="BL49" s="28">
        <f>'PSP-1 Metdata'!G50</f>
        <v>62.07999877929688</v>
      </c>
      <c r="BM49" s="28">
        <f>'PSP-1 Metdata'!I50</f>
        <v>7.032580852508545</v>
      </c>
      <c r="BN49" s="28">
        <f>'PSP-1 Metdata'!J50</f>
        <v>12</v>
      </c>
      <c r="BO49" s="28">
        <f>'PSP-1 Metdata'!K50</f>
        <v>4</v>
      </c>
      <c r="BP49" s="25">
        <f>'PSP-1 Metdata'!L50</f>
        <v>17.72180161999708</v>
      </c>
      <c r="BQ49" s="25">
        <f>'PSP-1 Metdata'!M50</f>
        <v>9.813474436884212</v>
      </c>
      <c r="BR49" s="25">
        <f>'PSP-1 Metdata'!N50</f>
        <v>3.9541635915564344</v>
      </c>
      <c r="BT49" s="25">
        <f t="shared" si="48"/>
        <v>33294.53956575766</v>
      </c>
      <c r="BU49" s="25">
        <f t="shared" si="100"/>
        <v>78.97859995616398</v>
      </c>
      <c r="BV49" s="25">
        <f t="shared" si="101"/>
        <v>0.2</v>
      </c>
      <c r="BW49" s="25">
        <f t="shared" si="102"/>
        <v>1452.0827507309596</v>
      </c>
      <c r="BX49" s="25">
        <f t="shared" si="103"/>
        <v>0.014928415155504405</v>
      </c>
      <c r="BY49" s="25">
        <f t="shared" si="104"/>
        <v>16.59726942992043</v>
      </c>
      <c r="BZ49" s="25">
        <f t="shared" si="105"/>
        <v>97.9580211973648</v>
      </c>
      <c r="CA49" s="27">
        <f t="shared" si="106"/>
        <v>1.3257996798938985</v>
      </c>
      <c r="CB49" s="139">
        <f t="shared" si="50"/>
        <v>41.09979007671085</v>
      </c>
      <c r="CD49" s="27">
        <f>IF(CJ48&lt;'DadosReais&amp;Graficos'!MinASW,'DadosReais&amp;Graficos'!MinASW,IF(CJ48&gt;'DadosReais&amp;Graficos'!MaxASW,'DadosReais&amp;Graficos'!MaxASW,CJ48))</f>
        <v>154.23153419779183</v>
      </c>
      <c r="CE49" s="25">
        <f t="shared" si="107"/>
        <v>9.31199981689453</v>
      </c>
      <c r="CG49" s="27">
        <f t="shared" si="108"/>
        <v>216.31153297708872</v>
      </c>
      <c r="CH49" s="27">
        <f t="shared" si="51"/>
        <v>50.41178989360539</v>
      </c>
      <c r="CI49" s="27">
        <f>MAX(CG49-CH49-'DadosReais&amp;Graficos'!MaxASW,0)</f>
        <v>0</v>
      </c>
      <c r="CJ49" s="27">
        <f t="shared" si="63"/>
        <v>165.89974308348332</v>
      </c>
      <c r="CK49" s="27">
        <f>poolFractn*Month!CI49</f>
        <v>0</v>
      </c>
      <c r="CQ49" s="25">
        <f>SIN(PI()*'DadosReais&amp;Graficos'!Lat/180)</f>
        <v>0.6293203910498374</v>
      </c>
      <c r="CR49" s="25">
        <f>COS(PI()*'DadosReais&amp;Graficos'!Lat/180)</f>
        <v>0.7771459614569709</v>
      </c>
      <c r="CS49" s="25">
        <f t="shared" si="65"/>
        <v>1984</v>
      </c>
      <c r="CT49" s="29">
        <f t="shared" si="66"/>
        <v>30682</v>
      </c>
      <c r="CU49" s="30">
        <f t="shared" si="52"/>
        <v>12</v>
      </c>
      <c r="CV49" s="27">
        <f t="shared" si="109"/>
        <v>350</v>
      </c>
      <c r="CW49" s="25">
        <f t="shared" si="67"/>
        <v>-0.39906495399591085</v>
      </c>
      <c r="CX49" s="25">
        <f t="shared" si="110"/>
        <v>0.352435862283474</v>
      </c>
      <c r="CY49" s="25">
        <f t="shared" si="68"/>
        <v>0.3853534671962692</v>
      </c>
      <c r="CZ49" s="25">
        <f t="shared" si="69"/>
        <v>33294.53956575766</v>
      </c>
    </row>
    <row r="50" spans="1:104" ht="12.75">
      <c r="A50" s="149">
        <f t="shared" si="111"/>
        <v>31044</v>
      </c>
      <c r="B50" s="60">
        <f t="shared" si="71"/>
        <v>9.75</v>
      </c>
      <c r="C50" s="78">
        <f t="shared" si="53"/>
        <v>9.750000000000005</v>
      </c>
      <c r="D50" s="171">
        <f t="shared" si="30"/>
        <v>433268.63060277014</v>
      </c>
      <c r="E50" s="30">
        <f t="shared" si="70"/>
        <v>1111</v>
      </c>
      <c r="F50" s="27">
        <f t="shared" si="112"/>
        <v>7.585689713375873</v>
      </c>
      <c r="G50" s="27">
        <f t="shared" si="113"/>
        <v>25.751127311379687</v>
      </c>
      <c r="H50" s="27">
        <f t="shared" si="114"/>
        <v>100.61214953634591</v>
      </c>
      <c r="I50" s="27">
        <f t="shared" si="33"/>
        <v>108.19783924972178</v>
      </c>
      <c r="J50" s="27">
        <f t="shared" si="55"/>
        <v>133.94896656110149</v>
      </c>
      <c r="K50" s="27">
        <f t="shared" si="72"/>
        <v>4.000184685077489</v>
      </c>
      <c r="L50" s="27">
        <f t="shared" si="73"/>
        <v>3.0344159817196017</v>
      </c>
      <c r="M50" s="27">
        <f t="shared" si="115"/>
        <v>4.056980514316895</v>
      </c>
      <c r="O50" s="25">
        <f t="shared" si="74"/>
        <v>0.013</v>
      </c>
      <c r="P50" s="25">
        <f t="shared" si="75"/>
        <v>0.09861396627388636</v>
      </c>
      <c r="Q50" s="25">
        <f t="shared" si="76"/>
        <v>0.25751127311379685</v>
      </c>
      <c r="S50" s="27">
        <f t="shared" si="57"/>
        <v>90.5599905817695</v>
      </c>
      <c r="T50" s="27">
        <f t="shared" si="77"/>
        <v>15.366134122265008</v>
      </c>
      <c r="U50" s="27">
        <f t="shared" si="78"/>
        <v>0.17044701998747355</v>
      </c>
      <c r="V50" s="27">
        <f t="shared" si="79"/>
        <v>0.45</v>
      </c>
      <c r="W50" s="27">
        <f t="shared" si="80"/>
        <v>185.47357438520373</v>
      </c>
      <c r="X50" s="27">
        <f t="shared" si="81"/>
        <v>19.02293070617473</v>
      </c>
      <c r="Y50" s="27">
        <f t="shared" si="82"/>
        <v>20.60312889204547</v>
      </c>
      <c r="AA50" s="24">
        <f t="shared" si="83"/>
        <v>0.398917405258267</v>
      </c>
      <c r="AB50" s="23">
        <f t="shared" si="84"/>
        <v>0.8061260152556583</v>
      </c>
      <c r="AC50" s="23">
        <f>IF('DadosReais&amp;Graficos'!soilClass&gt;0,0.8-0.1*'DadosReais&amp;Graficos'!soilClass,IF('DadosReais&amp;Graficos'!soilClass&lt;0,SWconst0,999))</f>
        <v>0.6000000000000001</v>
      </c>
      <c r="AD50" s="23">
        <f>IF('DadosReais&amp;Graficos'!soilClass&gt;0,11-2*'DadosReais&amp;Graficos'!soilClass,SWpower0)</f>
        <v>7</v>
      </c>
      <c r="AE50" s="24">
        <f>1/(1+((1-CD50/'DadosReais&amp;Graficos'!MaxASW)/AC50)^AD50)</f>
        <v>0.999850386819979</v>
      </c>
      <c r="AF50" s="24">
        <f t="shared" si="58"/>
        <v>0.6</v>
      </c>
      <c r="AG50" s="27">
        <f t="shared" si="85"/>
        <v>1</v>
      </c>
      <c r="AH50" s="27">
        <f t="shared" si="86"/>
        <v>0.6</v>
      </c>
      <c r="AI50" s="27">
        <f t="shared" si="87"/>
        <v>0.998227959048956</v>
      </c>
      <c r="AJ50" s="24">
        <f t="shared" si="39"/>
        <v>0.8046975269449234</v>
      </c>
      <c r="AM50" s="27">
        <f t="shared" si="40"/>
        <v>240.07999277114868</v>
      </c>
      <c r="AN50" s="27">
        <f t="shared" si="88"/>
        <v>1</v>
      </c>
      <c r="AO50" s="27">
        <f t="shared" si="89"/>
        <v>0.7806766142023971</v>
      </c>
      <c r="AP50" s="27">
        <f t="shared" si="59"/>
        <v>187.42483589431632</v>
      </c>
      <c r="AQ50" s="27">
        <f t="shared" si="90"/>
        <v>0.010593259032398238</v>
      </c>
      <c r="AR50" s="27">
        <f t="shared" si="91"/>
        <v>0.5847478985883827</v>
      </c>
      <c r="AS50" s="27">
        <f t="shared" si="43"/>
        <v>1</v>
      </c>
      <c r="AT50" s="25">
        <f t="shared" si="44"/>
        <v>1.0959627893247395</v>
      </c>
      <c r="AU50" s="25">
        <f t="shared" si="92"/>
        <v>0.5151025109826275</v>
      </c>
      <c r="AW50" s="25">
        <f t="shared" si="93"/>
        <v>0.6</v>
      </c>
      <c r="AX50" s="25">
        <f t="shared" si="94"/>
        <v>0.10329850154605645</v>
      </c>
      <c r="AY50" s="25">
        <f t="shared" si="95"/>
        <v>0.2351196823300763</v>
      </c>
      <c r="AZ50" s="25">
        <f t="shared" si="61"/>
        <v>0.6932668870646467</v>
      </c>
      <c r="BA50" s="25">
        <f t="shared" si="62"/>
        <v>0.07161343060527703</v>
      </c>
      <c r="BB50" s="25">
        <f t="shared" si="96"/>
        <v>0.03688825792485834</v>
      </c>
      <c r="BC50" s="25">
        <f t="shared" si="97"/>
        <v>0.12111073874966001</v>
      </c>
      <c r="BD50" s="25">
        <f t="shared" si="98"/>
        <v>0.35710351430810916</v>
      </c>
      <c r="BG50" s="76">
        <f t="shared" si="116"/>
        <v>31048</v>
      </c>
      <c r="BH50" s="30">
        <f t="shared" si="99"/>
        <v>31</v>
      </c>
      <c r="BI50" s="27">
        <f>'PSP-1 Metdata'!D51</f>
        <v>8.00000011920929</v>
      </c>
      <c r="BJ50" s="28">
        <f>'PSP-1 Metdata'!E51</f>
        <v>13.800000190734863</v>
      </c>
      <c r="BK50" s="28">
        <f>'PSP-1 Metdata'!F51</f>
        <v>2.200000047683716</v>
      </c>
      <c r="BL50" s="28">
        <f>'PSP-1 Metdata'!G51</f>
        <v>111.2</v>
      </c>
      <c r="BM50" s="28">
        <f>'PSP-1 Metdata'!I51</f>
        <v>7.744515895843506</v>
      </c>
      <c r="BN50" s="28">
        <f>'PSP-1 Metdata'!J51</f>
        <v>11</v>
      </c>
      <c r="BO50" s="28">
        <f>'PSP-1 Metdata'!K51</f>
        <v>12</v>
      </c>
      <c r="BP50" s="25">
        <f>'PSP-1 Metdata'!L51</f>
        <v>15.778362423757994</v>
      </c>
      <c r="BQ50" s="25">
        <f>'PSP-1 Metdata'!M51</f>
        <v>7.157754334745817</v>
      </c>
      <c r="BR50" s="25">
        <f>'PSP-1 Metdata'!N51</f>
        <v>4.310304044506088</v>
      </c>
      <c r="BT50" s="25">
        <f t="shared" si="48"/>
        <v>34557.10261977032</v>
      </c>
      <c r="BU50" s="25">
        <f t="shared" si="100"/>
        <v>89.28623197508057</v>
      </c>
      <c r="BV50" s="25">
        <f t="shared" si="101"/>
        <v>0.2</v>
      </c>
      <c r="BW50" s="25">
        <f t="shared" si="102"/>
        <v>1582.8677818991175</v>
      </c>
      <c r="BX50" s="25">
        <f t="shared" si="103"/>
        <v>0.014665387604876366</v>
      </c>
      <c r="BY50" s="25">
        <f t="shared" si="104"/>
        <v>16.83755295042446</v>
      </c>
      <c r="BZ50" s="25">
        <f t="shared" si="105"/>
        <v>105.67435169962985</v>
      </c>
      <c r="CA50" s="27">
        <f t="shared" si="106"/>
        <v>1.484471307301548</v>
      </c>
      <c r="CB50" s="139">
        <f t="shared" si="50"/>
        <v>46.01861052634799</v>
      </c>
      <c r="CD50" s="27">
        <f>IF(CJ49&lt;'DadosReais&amp;Graficos'!MinASW,'DadosReais&amp;Graficos'!MinASW,IF(CJ49&gt;'DadosReais&amp;Graficos'!MaxASW,'DadosReais&amp;Graficos'!MaxASW,CJ49))</f>
        <v>165.89974308348332</v>
      </c>
      <c r="CE50" s="25">
        <f t="shared" si="107"/>
        <v>16.68</v>
      </c>
      <c r="CG50" s="27">
        <f t="shared" si="108"/>
        <v>277.0997430834833</v>
      </c>
      <c r="CH50" s="27">
        <f t="shared" si="51"/>
        <v>62.69861052634799</v>
      </c>
      <c r="CI50" s="27">
        <f>MAX(CG50-CH50-'DadosReais&amp;Graficos'!MaxASW,0)</f>
        <v>14.401132557135327</v>
      </c>
      <c r="CJ50" s="27">
        <f t="shared" si="63"/>
        <v>200</v>
      </c>
      <c r="CK50" s="27">
        <f>poolFractn*Month!CI50</f>
        <v>0</v>
      </c>
      <c r="CQ50" s="25">
        <f>SIN(PI()*'DadosReais&amp;Graficos'!Lat/180)</f>
        <v>0.6293203910498374</v>
      </c>
      <c r="CR50" s="25">
        <f>COS(PI()*'DadosReais&amp;Graficos'!Lat/180)</f>
        <v>0.7771459614569709</v>
      </c>
      <c r="CS50" s="25">
        <f t="shared" si="65"/>
        <v>1984</v>
      </c>
      <c r="CT50" s="29">
        <f t="shared" si="66"/>
        <v>30682</v>
      </c>
      <c r="CU50" s="30">
        <f t="shared" si="52"/>
        <v>1</v>
      </c>
      <c r="CV50" s="27">
        <f t="shared" si="109"/>
        <v>16</v>
      </c>
      <c r="CW50" s="25">
        <f t="shared" si="67"/>
        <v>-0.3566279806934116</v>
      </c>
      <c r="CX50" s="25">
        <f t="shared" si="110"/>
        <v>0.30911718809788097</v>
      </c>
      <c r="CY50" s="25">
        <f t="shared" si="68"/>
        <v>0.39996646550660087</v>
      </c>
      <c r="CZ50" s="25">
        <f t="shared" si="69"/>
        <v>34557.10261977032</v>
      </c>
    </row>
    <row r="51" spans="1:104" ht="12.75">
      <c r="A51" s="149">
        <f t="shared" si="111"/>
        <v>31075</v>
      </c>
      <c r="B51" s="60">
        <f t="shared" si="71"/>
        <v>9.83</v>
      </c>
      <c r="C51" s="78">
        <f t="shared" si="53"/>
        <v>9.83333333333334</v>
      </c>
      <c r="D51" s="171">
        <f t="shared" si="30"/>
        <v>432472.7867735958</v>
      </c>
      <c r="E51" s="30">
        <f t="shared" si="70"/>
        <v>1111</v>
      </c>
      <c r="F51" s="27">
        <f t="shared" si="112"/>
        <v>7.523964005026846</v>
      </c>
      <c r="G51" s="27">
        <f t="shared" si="113"/>
        <v>25.61472677701555</v>
      </c>
      <c r="H51" s="27">
        <f t="shared" si="114"/>
        <v>100.96925305065402</v>
      </c>
      <c r="I51" s="27">
        <f t="shared" si="33"/>
        <v>108.49321705568086</v>
      </c>
      <c r="J51" s="27">
        <f t="shared" si="55"/>
        <v>134.1079438326964</v>
      </c>
      <c r="K51" s="27">
        <f t="shared" si="72"/>
        <v>4.000154109541843</v>
      </c>
      <c r="L51" s="27">
        <f t="shared" si="73"/>
        <v>3.0097015534753044</v>
      </c>
      <c r="M51" s="27">
        <f t="shared" si="115"/>
        <v>4.155594480590781</v>
      </c>
      <c r="O51" s="25">
        <f t="shared" si="74"/>
        <v>0.013</v>
      </c>
      <c r="P51" s="25">
        <f t="shared" si="75"/>
        <v>0.097811532065349</v>
      </c>
      <c r="Q51" s="25">
        <f t="shared" si="76"/>
        <v>0.2561472677701555</v>
      </c>
      <c r="S51" s="27">
        <f t="shared" si="57"/>
        <v>90.88141588717734</v>
      </c>
      <c r="T51" s="27">
        <f t="shared" si="77"/>
        <v>15.386265021125899</v>
      </c>
      <c r="U51" s="27">
        <f t="shared" si="78"/>
        <v>0.16986493301923675</v>
      </c>
      <c r="V51" s="27">
        <f t="shared" si="79"/>
        <v>0.45</v>
      </c>
      <c r="W51" s="27">
        <f t="shared" si="80"/>
        <v>186.26248365378288</v>
      </c>
      <c r="X51" s="27">
        <f t="shared" si="81"/>
        <v>18.941947490215195</v>
      </c>
      <c r="Y51" s="27">
        <f t="shared" si="82"/>
        <v>20.657147838537014</v>
      </c>
      <c r="AA51" s="24">
        <f t="shared" si="83"/>
        <v>0.9127633279106772</v>
      </c>
      <c r="AB51" s="23">
        <f t="shared" si="84"/>
        <v>0.8277029871622305</v>
      </c>
      <c r="AC51" s="23">
        <f>IF('DadosReais&amp;Graficos'!soilClass&gt;0,0.8-0.1*'DadosReais&amp;Graficos'!soilClass,IF('DadosReais&amp;Graficos'!soilClass&lt;0,SWconst0,999))</f>
        <v>0.6000000000000001</v>
      </c>
      <c r="AD51" s="23">
        <f>IF('DadosReais&amp;Graficos'!soilClass&gt;0,11-2*'DadosReais&amp;Graficos'!soilClass,SWpower0)</f>
        <v>7</v>
      </c>
      <c r="AE51" s="24">
        <f>1/(1+((1-CD51/'DadosReais&amp;Graficos'!MaxASW)/AC51)^AD51)</f>
        <v>1</v>
      </c>
      <c r="AF51" s="24">
        <f t="shared" si="58"/>
        <v>0.6</v>
      </c>
      <c r="AG51" s="27">
        <f t="shared" si="85"/>
        <v>1</v>
      </c>
      <c r="AH51" s="27">
        <f t="shared" si="86"/>
        <v>1</v>
      </c>
      <c r="AI51" s="27">
        <f t="shared" si="87"/>
        <v>0.9981667078149348</v>
      </c>
      <c r="AJ51" s="24">
        <f t="shared" si="39"/>
        <v>0.8261855657443108</v>
      </c>
      <c r="AM51" s="27">
        <f t="shared" si="40"/>
        <v>228.1500015258789</v>
      </c>
      <c r="AN51" s="27">
        <f t="shared" si="88"/>
        <v>1</v>
      </c>
      <c r="AO51" s="27">
        <f t="shared" si="89"/>
        <v>0.7779495735511502</v>
      </c>
      <c r="AP51" s="27">
        <f t="shared" si="59"/>
        <v>177.48919639275178</v>
      </c>
      <c r="AQ51" s="27">
        <f t="shared" si="90"/>
        <v>0.04147615375532985</v>
      </c>
      <c r="AR51" s="27">
        <f t="shared" si="91"/>
        <v>2.2894836872942075</v>
      </c>
      <c r="AS51" s="27">
        <f t="shared" si="43"/>
        <v>1</v>
      </c>
      <c r="AT51" s="25">
        <f t="shared" si="44"/>
        <v>4.063586198121631</v>
      </c>
      <c r="AU51" s="25">
        <f t="shared" si="92"/>
        <v>1.9098855131171664</v>
      </c>
      <c r="AW51" s="25">
        <f t="shared" si="93"/>
        <v>0.6</v>
      </c>
      <c r="AX51" s="25">
        <f t="shared" si="94"/>
        <v>0.10322781112170694</v>
      </c>
      <c r="AY51" s="25">
        <f t="shared" si="95"/>
        <v>0.2318399971312001</v>
      </c>
      <c r="AZ51" s="25">
        <f t="shared" si="61"/>
        <v>0.696284117500422</v>
      </c>
      <c r="BA51" s="25">
        <f t="shared" si="62"/>
        <v>0.07187588536837797</v>
      </c>
      <c r="BB51" s="25">
        <f t="shared" si="96"/>
        <v>0.13727471220753518</v>
      </c>
      <c r="BC51" s="25">
        <f t="shared" si="97"/>
        <v>0.4427878518820045</v>
      </c>
      <c r="BD51" s="25">
        <f t="shared" si="98"/>
        <v>1.3298229490276268</v>
      </c>
      <c r="BG51" s="76">
        <f t="shared" si="116"/>
        <v>31079</v>
      </c>
      <c r="BH51" s="30">
        <f t="shared" si="99"/>
        <v>28</v>
      </c>
      <c r="BI51" s="27">
        <f>'PSP-1 Metdata'!D52</f>
        <v>12.700000286102295</v>
      </c>
      <c r="BJ51" s="28">
        <f>'PSP-1 Metdata'!E52</f>
        <v>16.600000381469727</v>
      </c>
      <c r="BK51" s="28">
        <f>'PSP-1 Metdata'!F52</f>
        <v>8.800000190734863</v>
      </c>
      <c r="BL51" s="28">
        <f>'PSP-1 Metdata'!G52</f>
        <v>141.1199951171875</v>
      </c>
      <c r="BM51" s="28">
        <f>'PSP-1 Metdata'!I52</f>
        <v>8.148214340209961</v>
      </c>
      <c r="BN51" s="28">
        <f>'PSP-1 Metdata'!J52</f>
        <v>15</v>
      </c>
      <c r="BO51" s="28">
        <f>'PSP-1 Metdata'!K52</f>
        <v>0</v>
      </c>
      <c r="BP51" s="25">
        <f>'PSP-1 Metdata'!L52</f>
        <v>18.889668103409804</v>
      </c>
      <c r="BQ51" s="25">
        <f>'PSP-1 Metdata'!M52</f>
        <v>11.325632099176183</v>
      </c>
      <c r="BR51" s="25">
        <f>'PSP-1 Metdata'!N52</f>
        <v>3.7820180021168106</v>
      </c>
      <c r="BT51" s="25">
        <f t="shared" si="48"/>
        <v>37850.90307676919</v>
      </c>
      <c r="BU51" s="25">
        <f t="shared" si="100"/>
        <v>82.21706596925853</v>
      </c>
      <c r="BV51" s="25">
        <f t="shared" si="101"/>
        <v>0.2</v>
      </c>
      <c r="BW51" s="25">
        <f t="shared" si="102"/>
        <v>1388.8659324957541</v>
      </c>
      <c r="BX51" s="25">
        <f t="shared" si="103"/>
        <v>0.014934366250327482</v>
      </c>
      <c r="BY51" s="25">
        <f t="shared" si="104"/>
        <v>16.591930842436277</v>
      </c>
      <c r="BZ51" s="25">
        <f t="shared" si="105"/>
        <v>94.6088488757002</v>
      </c>
      <c r="CA51" s="27">
        <f t="shared" si="106"/>
        <v>1.4557034020320456</v>
      </c>
      <c r="CB51" s="139">
        <f t="shared" si="50"/>
        <v>40.759695256897274</v>
      </c>
      <c r="CD51" s="27">
        <f>IF(CJ50&lt;'DadosReais&amp;Graficos'!MinASW,'DadosReais&amp;Graficos'!MinASW,IF(CJ50&gt;'DadosReais&amp;Graficos'!MaxASW,'DadosReais&amp;Graficos'!MaxASW,CJ50))</f>
        <v>200</v>
      </c>
      <c r="CE51" s="25">
        <f t="shared" si="107"/>
        <v>21.167999267578125</v>
      </c>
      <c r="CG51" s="27">
        <f t="shared" si="108"/>
        <v>341.1199951171875</v>
      </c>
      <c r="CH51" s="27">
        <f t="shared" si="51"/>
        <v>61.9276945244754</v>
      </c>
      <c r="CI51" s="27">
        <f>MAX(CG51-CH51-'DadosReais&amp;Graficos'!MaxASW,0)</f>
        <v>79.19230059271212</v>
      </c>
      <c r="CJ51" s="27">
        <f t="shared" si="63"/>
        <v>200</v>
      </c>
      <c r="CK51" s="27">
        <f>poolFractn*Month!CI51</f>
        <v>0</v>
      </c>
      <c r="CQ51" s="25">
        <f>SIN(PI()*'DadosReais&amp;Graficos'!Lat/180)</f>
        <v>0.6293203910498374</v>
      </c>
      <c r="CR51" s="25">
        <f>COS(PI()*'DadosReais&amp;Graficos'!Lat/180)</f>
        <v>0.7771459614569709</v>
      </c>
      <c r="CS51" s="25">
        <f t="shared" si="65"/>
        <v>1985</v>
      </c>
      <c r="CT51" s="29">
        <f t="shared" si="66"/>
        <v>31048</v>
      </c>
      <c r="CU51" s="30">
        <f t="shared" si="52"/>
        <v>2</v>
      </c>
      <c r="CV51" s="27">
        <f t="shared" si="109"/>
        <v>44</v>
      </c>
      <c r="CW51" s="25">
        <f t="shared" si="67"/>
        <v>-0.2321535487640738</v>
      </c>
      <c r="CX51" s="25">
        <f t="shared" si="110"/>
        <v>0.19327466507755395</v>
      </c>
      <c r="CY51" s="25">
        <f t="shared" si="68"/>
        <v>0.43808915598112486</v>
      </c>
      <c r="CZ51" s="25">
        <f t="shared" si="69"/>
        <v>37850.90307676919</v>
      </c>
    </row>
    <row r="52" spans="1:104" ht="12.75">
      <c r="A52" s="149">
        <f t="shared" si="111"/>
        <v>31106</v>
      </c>
      <c r="B52" s="60">
        <f t="shared" si="71"/>
        <v>9.92</v>
      </c>
      <c r="C52" s="78">
        <f t="shared" si="53"/>
        <v>9.916666666666673</v>
      </c>
      <c r="D52" s="171">
        <f t="shared" si="30"/>
        <v>424809.0403546005</v>
      </c>
      <c r="E52" s="30">
        <f t="shared" si="70"/>
        <v>1111</v>
      </c>
      <c r="F52" s="27">
        <f t="shared" si="112"/>
        <v>7.563427185169032</v>
      </c>
      <c r="G52" s="27">
        <f t="shared" si="113"/>
        <v>25.8013673611274</v>
      </c>
      <c r="H52" s="27">
        <f t="shared" si="114"/>
        <v>102.29907599968165</v>
      </c>
      <c r="I52" s="27">
        <f t="shared" si="33"/>
        <v>109.86250318485068</v>
      </c>
      <c r="J52" s="27">
        <f t="shared" si="55"/>
        <v>135.66387054597809</v>
      </c>
      <c r="K52" s="27">
        <f t="shared" si="72"/>
        <v>4.000128398011282</v>
      </c>
      <c r="L52" s="27">
        <f t="shared" si="73"/>
        <v>3.025467986968518</v>
      </c>
      <c r="M52" s="27">
        <f t="shared" si="115"/>
        <v>4.25340601265613</v>
      </c>
      <c r="O52" s="25">
        <f t="shared" si="74"/>
        <v>0.013</v>
      </c>
      <c r="P52" s="25">
        <f t="shared" si="75"/>
        <v>0.09832455340719741</v>
      </c>
      <c r="Q52" s="25">
        <f t="shared" si="76"/>
        <v>0.25801367361127403</v>
      </c>
      <c r="S52" s="27">
        <f t="shared" si="57"/>
        <v>92.07837623733722</v>
      </c>
      <c r="T52" s="27">
        <f t="shared" si="77"/>
        <v>15.460838423237616</v>
      </c>
      <c r="U52" s="27">
        <f t="shared" si="78"/>
        <v>0.16929941693706543</v>
      </c>
      <c r="V52" s="27">
        <f t="shared" si="79"/>
        <v>0.45</v>
      </c>
      <c r="W52" s="27">
        <f t="shared" si="80"/>
        <v>188.84422684385555</v>
      </c>
      <c r="X52" s="27">
        <f t="shared" si="81"/>
        <v>19.04311531198542</v>
      </c>
      <c r="Y52" s="27">
        <f t="shared" si="82"/>
        <v>20.857873217556257</v>
      </c>
      <c r="AA52" s="24">
        <f t="shared" si="83"/>
        <v>0.7537119793235333</v>
      </c>
      <c r="AB52" s="23">
        <f t="shared" si="84"/>
        <v>0.7790169772668902</v>
      </c>
      <c r="AC52" s="23">
        <f>IF('DadosReais&amp;Graficos'!soilClass&gt;0,0.8-0.1*'DadosReais&amp;Graficos'!soilClass,IF('DadosReais&amp;Graficos'!soilClass&lt;0,SWconst0,999))</f>
        <v>0.6000000000000001</v>
      </c>
      <c r="AD52" s="23">
        <f>IF('DadosReais&amp;Graficos'!soilClass&gt;0,11-2*'DadosReais&amp;Graficos'!soilClass,SWpower0)</f>
        <v>7</v>
      </c>
      <c r="AE52" s="24">
        <f>1/(1+((1-CD52/'DadosReais&amp;Graficos'!MaxASW)/AC52)^AD52)</f>
        <v>1</v>
      </c>
      <c r="AF52" s="24">
        <f t="shared" si="58"/>
        <v>0.6</v>
      </c>
      <c r="AG52" s="27">
        <f t="shared" si="85"/>
        <v>1</v>
      </c>
      <c r="AH52" s="27">
        <f t="shared" si="86"/>
        <v>0.9333333333333333</v>
      </c>
      <c r="AI52" s="27">
        <f t="shared" si="87"/>
        <v>0.9981038872006011</v>
      </c>
      <c r="AJ52" s="24">
        <f t="shared" si="39"/>
        <v>0.7775398732053455</v>
      </c>
      <c r="AM52" s="27">
        <f t="shared" si="40"/>
        <v>530.4699745178223</v>
      </c>
      <c r="AN52" s="27">
        <f t="shared" si="88"/>
        <v>1</v>
      </c>
      <c r="AO52" s="27">
        <f t="shared" si="89"/>
        <v>0.7796931636127136</v>
      </c>
      <c r="AP52" s="27">
        <f t="shared" si="59"/>
        <v>413.60381263335637</v>
      </c>
      <c r="AQ52" s="27">
        <f t="shared" si="90"/>
        <v>0.030083443997610596</v>
      </c>
      <c r="AR52" s="27">
        <f t="shared" si="91"/>
        <v>1.6606061086681048</v>
      </c>
      <c r="AS52" s="27">
        <f t="shared" si="43"/>
        <v>1</v>
      </c>
      <c r="AT52" s="25">
        <f t="shared" si="44"/>
        <v>6.868330178273698</v>
      </c>
      <c r="AU52" s="25">
        <f t="shared" si="92"/>
        <v>3.228115183788638</v>
      </c>
      <c r="AW52" s="25">
        <f t="shared" si="93"/>
        <v>0.6</v>
      </c>
      <c r="AX52" s="25">
        <f t="shared" si="94"/>
        <v>0.10296716620949732</v>
      </c>
      <c r="AY52" s="25">
        <f t="shared" si="95"/>
        <v>0.2393998736430692</v>
      </c>
      <c r="AZ52" s="25">
        <f t="shared" si="61"/>
        <v>0.6895945316040919</v>
      </c>
      <c r="BA52" s="25">
        <f t="shared" si="62"/>
        <v>0.07100559475283896</v>
      </c>
      <c r="BB52" s="25">
        <f t="shared" si="96"/>
        <v>0.2292142385555823</v>
      </c>
      <c r="BC52" s="25">
        <f t="shared" si="97"/>
        <v>0.772810367104273</v>
      </c>
      <c r="BD52" s="25">
        <f t="shared" si="98"/>
        <v>2.2260905781287827</v>
      </c>
      <c r="BG52" s="76">
        <f t="shared" si="116"/>
        <v>31107</v>
      </c>
      <c r="BH52" s="30">
        <f t="shared" si="99"/>
        <v>31</v>
      </c>
      <c r="BI52" s="27">
        <f>'PSP-1 Metdata'!D53</f>
        <v>10.649999856948853</v>
      </c>
      <c r="BJ52" s="28">
        <f>'PSP-1 Metdata'!E53</f>
        <v>16.399999618530273</v>
      </c>
      <c r="BK52" s="28">
        <f>'PSP-1 Metdata'!F53</f>
        <v>4.900000095367432</v>
      </c>
      <c r="BL52" s="28">
        <f>'PSP-1 Metdata'!G53</f>
        <v>42.320001220703126</v>
      </c>
      <c r="BM52" s="28">
        <f>'PSP-1 Metdata'!I53</f>
        <v>17.111934661865234</v>
      </c>
      <c r="BN52" s="28">
        <f>'PSP-1 Metdata'!J53</f>
        <v>9</v>
      </c>
      <c r="BO52" s="28">
        <f>'PSP-1 Metdata'!K53</f>
        <v>2</v>
      </c>
      <c r="BP52" s="25">
        <f>'PSP-1 Metdata'!L53</f>
        <v>18.650844221860588</v>
      </c>
      <c r="BQ52" s="25">
        <f>'PSP-1 Metdata'!M53</f>
        <v>8.66194663460116</v>
      </c>
      <c r="BR52" s="25">
        <f>'PSP-1 Metdata'!N53</f>
        <v>4.994448793629714</v>
      </c>
      <c r="BT52" s="25">
        <f t="shared" si="48"/>
        <v>42434.28237611158</v>
      </c>
      <c r="BU52" s="25">
        <f t="shared" si="100"/>
        <v>232.60584986818895</v>
      </c>
      <c r="BV52" s="25">
        <f t="shared" si="101"/>
        <v>0.2</v>
      </c>
      <c r="BW52" s="25">
        <f t="shared" si="102"/>
        <v>1834.1054371460878</v>
      </c>
      <c r="BX52" s="25">
        <f t="shared" si="103"/>
        <v>0.014128660630476474</v>
      </c>
      <c r="BY52" s="25">
        <f t="shared" si="104"/>
        <v>17.355623468553453</v>
      </c>
      <c r="BZ52" s="25">
        <f t="shared" si="105"/>
        <v>135.16300990895044</v>
      </c>
      <c r="CA52" s="27">
        <f t="shared" si="106"/>
        <v>2.331522491577874</v>
      </c>
      <c r="CB52" s="139">
        <f t="shared" si="50"/>
        <v>72.2771972389141</v>
      </c>
      <c r="CD52" s="27">
        <f>IF(CJ51&lt;'DadosReais&amp;Graficos'!MinASW,'DadosReais&amp;Graficos'!MinASW,IF(CJ51&gt;'DadosReais&amp;Graficos'!MaxASW,'DadosReais&amp;Graficos'!MaxASW,CJ51))</f>
        <v>200</v>
      </c>
      <c r="CE52" s="25">
        <f t="shared" si="107"/>
        <v>6.348000183105468</v>
      </c>
      <c r="CG52" s="27">
        <f t="shared" si="108"/>
        <v>242.32000122070312</v>
      </c>
      <c r="CH52" s="27">
        <f t="shared" si="51"/>
        <v>78.62519742201957</v>
      </c>
      <c r="CI52" s="27">
        <f>MAX(CG52-CH52-'DadosReais&amp;Graficos'!MaxASW,0)</f>
        <v>0</v>
      </c>
      <c r="CJ52" s="27">
        <f t="shared" si="63"/>
        <v>163.69480379868355</v>
      </c>
      <c r="CK52" s="27">
        <f>poolFractn*Month!CI52</f>
        <v>0</v>
      </c>
      <c r="CQ52" s="25">
        <f>SIN(PI()*'DadosReais&amp;Graficos'!Lat/180)</f>
        <v>0.6293203910498374</v>
      </c>
      <c r="CR52" s="25">
        <f>COS(PI()*'DadosReais&amp;Graficos'!Lat/180)</f>
        <v>0.7771459614569709</v>
      </c>
      <c r="CS52" s="25">
        <f t="shared" si="65"/>
        <v>1985</v>
      </c>
      <c r="CT52" s="29">
        <f t="shared" si="66"/>
        <v>31048</v>
      </c>
      <c r="CU52" s="30">
        <f t="shared" si="52"/>
        <v>3</v>
      </c>
      <c r="CV52" s="27">
        <f t="shared" si="109"/>
        <v>75</v>
      </c>
      <c r="CW52" s="25">
        <f t="shared" si="67"/>
        <v>-0.03435761194480621</v>
      </c>
      <c r="CX52" s="25">
        <f t="shared" si="110"/>
        <v>0.027838681446559606</v>
      </c>
      <c r="CY52" s="25">
        <f t="shared" si="68"/>
        <v>0.49113752750129147</v>
      </c>
      <c r="CZ52" s="25">
        <f t="shared" si="69"/>
        <v>42434.28237611158</v>
      </c>
    </row>
    <row r="53" spans="1:104" ht="12.75">
      <c r="A53" s="149">
        <f t="shared" si="111"/>
        <v>31134</v>
      </c>
      <c r="B53" s="60">
        <f t="shared" si="71"/>
        <v>10</v>
      </c>
      <c r="C53" s="78">
        <f t="shared" si="53"/>
        <v>10.000000000000007</v>
      </c>
      <c r="D53" s="171">
        <f t="shared" si="30"/>
        <v>411237.66117064614</v>
      </c>
      <c r="E53" s="30">
        <f t="shared" si="70"/>
        <v>1111</v>
      </c>
      <c r="F53" s="27">
        <f t="shared" si="112"/>
        <v>7.694316870317417</v>
      </c>
      <c r="G53" s="27">
        <f t="shared" si="113"/>
        <v>26.3161640546204</v>
      </c>
      <c r="H53" s="27">
        <f t="shared" si="114"/>
        <v>104.52516657781042</v>
      </c>
      <c r="I53" s="27">
        <f t="shared" si="33"/>
        <v>112.21948344812785</v>
      </c>
      <c r="J53" s="27">
        <f t="shared" si="55"/>
        <v>138.53564750274825</v>
      </c>
      <c r="K53" s="27">
        <f t="shared" si="72"/>
        <v>4.0001068115234375</v>
      </c>
      <c r="L53" s="27">
        <f t="shared" si="73"/>
        <v>3.0778089322976396</v>
      </c>
      <c r="M53" s="27">
        <f t="shared" si="115"/>
        <v>4.351730566063328</v>
      </c>
      <c r="O53" s="25">
        <f t="shared" si="74"/>
        <v>0.013</v>
      </c>
      <c r="P53" s="25">
        <f t="shared" si="75"/>
        <v>0.10002611931412642</v>
      </c>
      <c r="Q53" s="25">
        <f t="shared" si="76"/>
        <v>0.263161640546204</v>
      </c>
      <c r="S53" s="27">
        <f t="shared" si="57"/>
        <v>94.08205812584197</v>
      </c>
      <c r="T53" s="27">
        <f t="shared" si="77"/>
        <v>15.584316487270284</v>
      </c>
      <c r="U53" s="27">
        <f t="shared" si="78"/>
        <v>0.16874999999999996</v>
      </c>
      <c r="V53" s="27">
        <f t="shared" si="79"/>
        <v>0.45</v>
      </c>
      <c r="W53" s="27">
        <f t="shared" si="80"/>
        <v>193.08121048401094</v>
      </c>
      <c r="X53" s="27">
        <f t="shared" si="81"/>
        <v>19.30812104840108</v>
      </c>
      <c r="Y53" s="27">
        <f t="shared" si="82"/>
        <v>21.192366640889997</v>
      </c>
      <c r="AA53" s="24">
        <f t="shared" si="83"/>
        <v>0.969435758998971</v>
      </c>
      <c r="AB53" s="23">
        <f t="shared" si="84"/>
        <v>0.7569762749581395</v>
      </c>
      <c r="AC53" s="23">
        <f>IF('DadosReais&amp;Graficos'!soilClass&gt;0,0.8-0.1*'DadosReais&amp;Graficos'!soilClass,IF('DadosReais&amp;Graficos'!soilClass&lt;0,SWconst0,999))</f>
        <v>0.6000000000000001</v>
      </c>
      <c r="AD53" s="23">
        <f>IF('DadosReais&amp;Graficos'!soilClass&gt;0,11-2*'DadosReais&amp;Graficos'!soilClass,SWpower0)</f>
        <v>7</v>
      </c>
      <c r="AE53" s="24">
        <f>1/(1+((1-CD53/'DadosReais&amp;Graficos'!MaxASW)/AC53)^AD53)</f>
        <v>0.999768040563983</v>
      </c>
      <c r="AF53" s="24">
        <f t="shared" si="58"/>
        <v>0.6</v>
      </c>
      <c r="AG53" s="27">
        <f t="shared" si="85"/>
        <v>1</v>
      </c>
      <c r="AH53" s="27">
        <f t="shared" si="86"/>
        <v>1</v>
      </c>
      <c r="AI53" s="27">
        <f t="shared" si="87"/>
        <v>0.9980394709634929</v>
      </c>
      <c r="AJ53" s="24">
        <f t="shared" si="39"/>
        <v>0.755492200991137</v>
      </c>
      <c r="AM53" s="27">
        <f t="shared" si="40"/>
        <v>569.8000144958496</v>
      </c>
      <c r="AN53" s="27">
        <f t="shared" si="88"/>
        <v>1</v>
      </c>
      <c r="AO53" s="27">
        <f t="shared" si="89"/>
        <v>0.785383908122862</v>
      </c>
      <c r="AP53" s="27">
        <f t="shared" si="59"/>
        <v>447.51176223321374</v>
      </c>
      <c r="AQ53" s="27">
        <f t="shared" si="90"/>
        <v>0.04028206354071054</v>
      </c>
      <c r="AR53" s="27">
        <f t="shared" si="91"/>
        <v>2.2235699074472217</v>
      </c>
      <c r="AS53" s="27">
        <f t="shared" si="43"/>
        <v>1</v>
      </c>
      <c r="AT53" s="25">
        <f t="shared" si="44"/>
        <v>9.950736877304502</v>
      </c>
      <c r="AU53" s="25">
        <f t="shared" si="92"/>
        <v>4.676846332333116</v>
      </c>
      <c r="AW53" s="25">
        <f t="shared" si="93"/>
        <v>0.6</v>
      </c>
      <c r="AX53" s="25">
        <f t="shared" si="94"/>
        <v>0.10253977544919052</v>
      </c>
      <c r="AY53" s="25">
        <f t="shared" si="95"/>
        <v>0.2429910351970316</v>
      </c>
      <c r="AZ53" s="25">
        <f t="shared" si="61"/>
        <v>0.6866046755497344</v>
      </c>
      <c r="BA53" s="25">
        <f t="shared" si="62"/>
        <v>0.07040428925323405</v>
      </c>
      <c r="BB53" s="25">
        <f t="shared" si="96"/>
        <v>0.3292700419745075</v>
      </c>
      <c r="BC53" s="25">
        <f t="shared" si="97"/>
        <v>1.1364317317510644</v>
      </c>
      <c r="BD53" s="25">
        <f t="shared" si="98"/>
        <v>3.211144558607544</v>
      </c>
      <c r="BG53" s="76">
        <f t="shared" si="116"/>
        <v>31138</v>
      </c>
      <c r="BH53" s="30">
        <f t="shared" si="99"/>
        <v>30</v>
      </c>
      <c r="BI53" s="27">
        <f>'PSP-1 Metdata'!D54</f>
        <v>13.999999523162842</v>
      </c>
      <c r="BJ53" s="28">
        <f>'PSP-1 Metdata'!E54</f>
        <v>19.299999237060547</v>
      </c>
      <c r="BK53" s="28">
        <f>'PSP-1 Metdata'!F54</f>
        <v>8.699999809265137</v>
      </c>
      <c r="BL53" s="28">
        <f>'PSP-1 Metdata'!G54</f>
        <v>78.64000244140625</v>
      </c>
      <c r="BM53" s="28">
        <f>'PSP-1 Metdata'!I54</f>
        <v>18.99333381652832</v>
      </c>
      <c r="BN53" s="28">
        <f>'PSP-1 Metdata'!J54</f>
        <v>13</v>
      </c>
      <c r="BO53" s="28">
        <f>'PSP-1 Metdata'!K54</f>
        <v>0</v>
      </c>
      <c r="BP53" s="25">
        <f>'PSP-1 Metdata'!L54</f>
        <v>22.386163269439102</v>
      </c>
      <c r="BQ53" s="25">
        <f>'PSP-1 Metdata'!M54</f>
        <v>11.24922859303334</v>
      </c>
      <c r="BR53" s="25">
        <f>'PSP-1 Metdata'!N54</f>
        <v>5.568467338202881</v>
      </c>
      <c r="BT53" s="25">
        <f t="shared" si="48"/>
        <v>46978.19870062779</v>
      </c>
      <c r="BU53" s="25">
        <f t="shared" si="100"/>
        <v>233.44081879451892</v>
      </c>
      <c r="BV53" s="25">
        <f t="shared" si="101"/>
        <v>0.2</v>
      </c>
      <c r="BW53" s="25">
        <f t="shared" si="102"/>
        <v>2044.9015784474386</v>
      </c>
      <c r="BX53" s="25">
        <f t="shared" si="103"/>
        <v>0.013965529396346698</v>
      </c>
      <c r="BY53" s="25">
        <f t="shared" si="104"/>
        <v>17.520975189978753</v>
      </c>
      <c r="BZ53" s="25">
        <f t="shared" si="105"/>
        <v>146.0233435670131</v>
      </c>
      <c r="CA53" s="27">
        <f t="shared" si="106"/>
        <v>2.788582784154951</v>
      </c>
      <c r="CB53" s="139">
        <f t="shared" si="50"/>
        <v>83.65748352464853</v>
      </c>
      <c r="CD53" s="27">
        <f>IF(CJ52&lt;'DadosReais&amp;Graficos'!MinASW,'DadosReais&amp;Graficos'!MinASW,IF(CJ52&gt;'DadosReais&amp;Graficos'!MaxASW,'DadosReais&amp;Graficos'!MaxASW,CJ52))</f>
        <v>163.69480379868355</v>
      </c>
      <c r="CE53" s="25">
        <f t="shared" si="107"/>
        <v>11.796000366210938</v>
      </c>
      <c r="CG53" s="27">
        <f t="shared" si="108"/>
        <v>242.3348062400898</v>
      </c>
      <c r="CH53" s="27">
        <f t="shared" si="51"/>
        <v>95.45348389085946</v>
      </c>
      <c r="CI53" s="27">
        <f>MAX(CG53-CH53-'DadosReais&amp;Graficos'!MaxASW,0)</f>
        <v>0</v>
      </c>
      <c r="CJ53" s="27">
        <f t="shared" si="63"/>
        <v>146.88132234923035</v>
      </c>
      <c r="CK53" s="27">
        <f>poolFractn*Month!CI53</f>
        <v>0</v>
      </c>
      <c r="CQ53" s="25">
        <f>SIN(PI()*'DadosReais&amp;Graficos'!Lat/180)</f>
        <v>0.6293203910498374</v>
      </c>
      <c r="CR53" s="25">
        <f>COS(PI()*'DadosReais&amp;Graficos'!Lat/180)</f>
        <v>0.7771459614569709</v>
      </c>
      <c r="CS53" s="25">
        <f t="shared" si="65"/>
        <v>1985</v>
      </c>
      <c r="CT53" s="29">
        <f t="shared" si="66"/>
        <v>31048</v>
      </c>
      <c r="CU53" s="30">
        <f t="shared" si="52"/>
        <v>4</v>
      </c>
      <c r="CV53" s="27">
        <f t="shared" si="109"/>
        <v>105</v>
      </c>
      <c r="CW53" s="25">
        <f t="shared" si="67"/>
        <v>0.16674832097168432</v>
      </c>
      <c r="CX53" s="25">
        <f t="shared" si="110"/>
        <v>-0.13694746197546548</v>
      </c>
      <c r="CY53" s="25">
        <f t="shared" si="68"/>
        <v>0.5437291516276365</v>
      </c>
      <c r="CZ53" s="25">
        <f t="shared" si="69"/>
        <v>46978.19870062779</v>
      </c>
    </row>
    <row r="54" spans="1:104" ht="12.75">
      <c r="A54" s="149">
        <f t="shared" si="111"/>
        <v>31165</v>
      </c>
      <c r="B54" s="60">
        <f t="shared" si="71"/>
        <v>10.08</v>
      </c>
      <c r="C54" s="78">
        <f t="shared" si="53"/>
        <v>10.083333333333341</v>
      </c>
      <c r="D54" s="171">
        <f t="shared" si="30"/>
        <v>392149.9432677475</v>
      </c>
      <c r="E54" s="30">
        <f t="shared" si="70"/>
        <v>1111</v>
      </c>
      <c r="F54" s="27">
        <f t="shared" si="112"/>
        <v>7.923560792977797</v>
      </c>
      <c r="G54" s="27">
        <f t="shared" si="113"/>
        <v>27.18943414582526</v>
      </c>
      <c r="H54" s="27">
        <f t="shared" si="114"/>
        <v>107.73631113641797</v>
      </c>
      <c r="I54" s="27">
        <f t="shared" si="33"/>
        <v>115.65987192939576</v>
      </c>
      <c r="J54" s="27">
        <f t="shared" si="55"/>
        <v>142.84930607522102</v>
      </c>
      <c r="K54" s="27">
        <f t="shared" si="72"/>
        <v>4.000088717432776</v>
      </c>
      <c r="L54" s="27">
        <f t="shared" si="73"/>
        <v>3.169494612988319</v>
      </c>
      <c r="M54" s="27">
        <f t="shared" si="115"/>
        <v>4.451756685377454</v>
      </c>
      <c r="O54" s="25">
        <f t="shared" si="74"/>
        <v>0.013</v>
      </c>
      <c r="P54" s="25">
        <f t="shared" si="75"/>
        <v>0.10300629030871136</v>
      </c>
      <c r="Q54" s="25">
        <f t="shared" si="76"/>
        <v>0.2718943414582526</v>
      </c>
      <c r="S54" s="27">
        <f t="shared" si="57"/>
        <v>96.97237726050221</v>
      </c>
      <c r="T54" s="27">
        <f t="shared" si="77"/>
        <v>15.75954707687051</v>
      </c>
      <c r="U54" s="27">
        <f t="shared" si="78"/>
        <v>0.16821622389663005</v>
      </c>
      <c r="V54" s="27">
        <f t="shared" si="79"/>
        <v>0.45</v>
      </c>
      <c r="W54" s="27">
        <f t="shared" si="80"/>
        <v>199.14070155666062</v>
      </c>
      <c r="X54" s="27">
        <f t="shared" si="81"/>
        <v>19.749491063470458</v>
      </c>
      <c r="Y54" s="27">
        <f t="shared" si="82"/>
        <v>21.671621352056825</v>
      </c>
      <c r="AA54" s="24">
        <f t="shared" si="83"/>
        <v>0.9768150191641873</v>
      </c>
      <c r="AB54" s="23">
        <f t="shared" si="84"/>
        <v>0.7601746867888913</v>
      </c>
      <c r="AC54" s="23">
        <f>IF('DadosReais&amp;Graficos'!soilClass&gt;0,0.8-0.1*'DadosReais&amp;Graficos'!soilClass,IF('DadosReais&amp;Graficos'!soilClass&lt;0,SWconst0,999))</f>
        <v>0.6000000000000001</v>
      </c>
      <c r="AD54" s="23">
        <f>IF('DadosReais&amp;Graficos'!soilClass&gt;0,11-2*'DadosReais&amp;Graficos'!soilClass,SWpower0)</f>
        <v>7</v>
      </c>
      <c r="AE54" s="24">
        <f>1/(1+((1-CD54/'DadosReais&amp;Graficos'!MaxASW)/AC54)^AD54)</f>
        <v>0.9966809162893404</v>
      </c>
      <c r="AF54" s="24">
        <f t="shared" si="58"/>
        <v>0.6</v>
      </c>
      <c r="AG54" s="27">
        <f t="shared" si="85"/>
        <v>1</v>
      </c>
      <c r="AH54" s="27">
        <f t="shared" si="86"/>
        <v>1</v>
      </c>
      <c r="AI54" s="27">
        <f t="shared" si="87"/>
        <v>0.9979734326636241</v>
      </c>
      <c r="AJ54" s="24">
        <f t="shared" si="39"/>
        <v>0.7586341415987052</v>
      </c>
      <c r="AM54" s="27">
        <f t="shared" si="40"/>
        <v>643.8500289916992</v>
      </c>
      <c r="AN54" s="27">
        <f t="shared" si="88"/>
        <v>1</v>
      </c>
      <c r="AO54" s="27">
        <f t="shared" si="89"/>
        <v>0.7950004113629255</v>
      </c>
      <c r="AP54" s="27">
        <f t="shared" si="59"/>
        <v>511.8610379044324</v>
      </c>
      <c r="AQ54" s="27">
        <f t="shared" si="90"/>
        <v>0.040757487296039036</v>
      </c>
      <c r="AR54" s="27">
        <f t="shared" si="91"/>
        <v>2.2498132987413544</v>
      </c>
      <c r="AS54" s="27">
        <f t="shared" si="43"/>
        <v>1</v>
      </c>
      <c r="AT54" s="25">
        <f t="shared" si="44"/>
        <v>11.515917701849446</v>
      </c>
      <c r="AU54" s="25">
        <f t="shared" si="92"/>
        <v>5.412481319869239</v>
      </c>
      <c r="AW54" s="25">
        <f t="shared" si="93"/>
        <v>0.6</v>
      </c>
      <c r="AX54" s="25">
        <f t="shared" si="94"/>
        <v>0.10194202991405953</v>
      </c>
      <c r="AY54" s="25">
        <f t="shared" si="95"/>
        <v>0.24247270190298953</v>
      </c>
      <c r="AZ54" s="25">
        <f t="shared" si="61"/>
        <v>0.6874475040725057</v>
      </c>
      <c r="BA54" s="25">
        <f t="shared" si="62"/>
        <v>0.07007979402450482</v>
      </c>
      <c r="BB54" s="25">
        <f t="shared" si="96"/>
        <v>0.37930557605791626</v>
      </c>
      <c r="BC54" s="25">
        <f t="shared" si="97"/>
        <v>1.3123789696281534</v>
      </c>
      <c r="BD54" s="25">
        <f t="shared" si="98"/>
        <v>3.7207967741831696</v>
      </c>
      <c r="BG54" s="76">
        <f t="shared" si="116"/>
        <v>31168</v>
      </c>
      <c r="BH54" s="30">
        <f t="shared" si="99"/>
        <v>31</v>
      </c>
      <c r="BI54" s="27">
        <f>'PSP-1 Metdata'!D55</f>
        <v>14.25</v>
      </c>
      <c r="BJ54" s="28">
        <f>'PSP-1 Metdata'!E55</f>
        <v>19.399999618530273</v>
      </c>
      <c r="BK54" s="28">
        <f>'PSP-1 Metdata'!F55</f>
        <v>9.100000381469727</v>
      </c>
      <c r="BL54" s="28">
        <f>'PSP-1 Metdata'!G55</f>
        <v>57.840002441406256</v>
      </c>
      <c r="BM54" s="28">
        <f>'PSP-1 Metdata'!I55</f>
        <v>20.76935577392578</v>
      </c>
      <c r="BN54" s="28">
        <f>'PSP-1 Metdata'!J55</f>
        <v>8</v>
      </c>
      <c r="BO54" s="28">
        <f>'PSP-1 Metdata'!K55</f>
        <v>0</v>
      </c>
      <c r="BP54" s="25">
        <f>'PSP-1 Metdata'!L55</f>
        <v>22.525869372969083</v>
      </c>
      <c r="BQ54" s="25">
        <f>'PSP-1 Metdata'!M55</f>
        <v>11.557588529951161</v>
      </c>
      <c r="BR54" s="25">
        <f>'PSP-1 Metdata'!N55</f>
        <v>5.484140421508961</v>
      </c>
      <c r="BT54" s="25">
        <f t="shared" si="48"/>
        <v>51049.507507765746</v>
      </c>
      <c r="BU54" s="25">
        <f t="shared" si="100"/>
        <v>235.4778631627944</v>
      </c>
      <c r="BV54" s="25">
        <f t="shared" si="101"/>
        <v>0.2</v>
      </c>
      <c r="BW54" s="25">
        <f t="shared" si="102"/>
        <v>2013.9343060222302</v>
      </c>
      <c r="BX54" s="25">
        <f t="shared" si="103"/>
        <v>0.014441362312469154</v>
      </c>
      <c r="BY54" s="25">
        <f t="shared" si="104"/>
        <v>17.049108946412442</v>
      </c>
      <c r="BZ54" s="25">
        <f t="shared" si="105"/>
        <v>148.5113159249986</v>
      </c>
      <c r="CA54" s="27">
        <f t="shared" si="106"/>
        <v>3.081881925732271</v>
      </c>
      <c r="CB54" s="139">
        <f t="shared" si="50"/>
        <v>95.5383396977004</v>
      </c>
      <c r="CD54" s="27">
        <f>IF(CJ53&lt;'DadosReais&amp;Graficos'!MinASW,'DadosReais&amp;Graficos'!MinASW,IF(CJ53&gt;'DadosReais&amp;Graficos'!MaxASW,'DadosReais&amp;Graficos'!MaxASW,CJ53))</f>
        <v>146.88132234923035</v>
      </c>
      <c r="CE54" s="25">
        <f t="shared" si="107"/>
        <v>8.676000366210937</v>
      </c>
      <c r="CG54" s="27">
        <f t="shared" si="108"/>
        <v>204.7213247906366</v>
      </c>
      <c r="CH54" s="27">
        <f t="shared" si="51"/>
        <v>104.21434006391134</v>
      </c>
      <c r="CI54" s="27">
        <f>MAX(CG54-CH54-'DadosReais&amp;Graficos'!MaxASW,0)</f>
        <v>0</v>
      </c>
      <c r="CJ54" s="27">
        <f t="shared" si="63"/>
        <v>100.50698472672526</v>
      </c>
      <c r="CK54" s="27">
        <f>poolFractn*Month!CI54</f>
        <v>0</v>
      </c>
      <c r="CQ54" s="25">
        <f>SIN(PI()*'DadosReais&amp;Graficos'!Lat/180)</f>
        <v>0.6293203910498374</v>
      </c>
      <c r="CR54" s="25">
        <f>COS(PI()*'DadosReais&amp;Graficos'!Lat/180)</f>
        <v>0.7771459614569709</v>
      </c>
      <c r="CS54" s="25">
        <f t="shared" si="65"/>
        <v>1985</v>
      </c>
      <c r="CT54" s="29">
        <f t="shared" si="66"/>
        <v>31048</v>
      </c>
      <c r="CU54" s="30">
        <f t="shared" si="52"/>
        <v>5</v>
      </c>
      <c r="CV54" s="27">
        <f t="shared" si="109"/>
        <v>136</v>
      </c>
      <c r="CW54" s="25">
        <f t="shared" si="67"/>
        <v>0.328409053946799</v>
      </c>
      <c r="CX54" s="25">
        <f t="shared" si="110"/>
        <v>-0.2815567874772962</v>
      </c>
      <c r="CY54" s="25">
        <f t="shared" si="68"/>
        <v>0.5908507813398813</v>
      </c>
      <c r="CZ54" s="25">
        <f t="shared" si="69"/>
        <v>51049.507507765746</v>
      </c>
    </row>
    <row r="55" spans="1:104" ht="12.75">
      <c r="A55" s="149">
        <f t="shared" si="111"/>
        <v>31195</v>
      </c>
      <c r="B55" s="60">
        <f t="shared" si="71"/>
        <v>10.17</v>
      </c>
      <c r="C55" s="78">
        <f t="shared" si="53"/>
        <v>10.166666666666675</v>
      </c>
      <c r="D55" s="171">
        <f t="shared" si="30"/>
        <v>371639.85567274096</v>
      </c>
      <c r="E55" s="30">
        <f t="shared" si="70"/>
        <v>1111</v>
      </c>
      <c r="F55" s="27">
        <f t="shared" si="112"/>
        <v>8.199860078727003</v>
      </c>
      <c r="G55" s="27">
        <f t="shared" si="113"/>
        <v>28.22991877399516</v>
      </c>
      <c r="H55" s="27">
        <f t="shared" si="114"/>
        <v>111.45710791060114</v>
      </c>
      <c r="I55" s="27">
        <f t="shared" si="33"/>
        <v>119.65696798932814</v>
      </c>
      <c r="J55" s="27">
        <f t="shared" si="55"/>
        <v>147.8868867633233</v>
      </c>
      <c r="K55" s="27">
        <f t="shared" si="72"/>
        <v>4.000073575101056</v>
      </c>
      <c r="L55" s="27">
        <f t="shared" si="73"/>
        <v>3.2800043620441954</v>
      </c>
      <c r="M55" s="27">
        <f t="shared" si="115"/>
        <v>4.554762975686165</v>
      </c>
      <c r="O55" s="25">
        <f t="shared" si="74"/>
        <v>0.013</v>
      </c>
      <c r="P55" s="25">
        <f t="shared" si="75"/>
        <v>0.10659818102345103</v>
      </c>
      <c r="Q55" s="25">
        <f t="shared" si="76"/>
        <v>0.2822991877399516</v>
      </c>
      <c r="S55" s="27">
        <f t="shared" si="57"/>
        <v>100.32142926246728</v>
      </c>
      <c r="T55" s="27">
        <f t="shared" si="77"/>
        <v>15.958518757206512</v>
      </c>
      <c r="U55" s="27">
        <f t="shared" si="78"/>
        <v>0.1676976433627817</v>
      </c>
      <c r="V55" s="27">
        <f t="shared" si="79"/>
        <v>0.45</v>
      </c>
      <c r="W55" s="27">
        <f t="shared" si="80"/>
        <v>206.1466968399157</v>
      </c>
      <c r="X55" s="27">
        <f t="shared" si="81"/>
        <v>20.276724279335955</v>
      </c>
      <c r="Y55" s="27">
        <f t="shared" si="82"/>
        <v>22.222304649322016</v>
      </c>
      <c r="AA55" s="24">
        <f t="shared" si="83"/>
        <v>0.9725746130497138</v>
      </c>
      <c r="AB55" s="23">
        <f t="shared" si="84"/>
        <v>0.7270930154971713</v>
      </c>
      <c r="AC55" s="23">
        <f>IF('DadosReais&amp;Graficos'!soilClass&gt;0,0.8-0.1*'DadosReais&amp;Graficos'!soilClass,IF('DadosReais&amp;Graficos'!soilClass&lt;0,SWconst0,999))</f>
        <v>0.6000000000000001</v>
      </c>
      <c r="AD55" s="23">
        <f>IF('DadosReais&amp;Graficos'!soilClass&gt;0,11-2*'DadosReais&amp;Graficos'!soilClass,SWpower0)</f>
        <v>7</v>
      </c>
      <c r="AE55" s="24">
        <f>1/(1+((1-CD55/'DadosReais&amp;Graficos'!MaxASW)/AC55)^AD55)</f>
        <v>0.7878192359194118</v>
      </c>
      <c r="AF55" s="24">
        <f t="shared" si="58"/>
        <v>0.6</v>
      </c>
      <c r="AG55" s="27">
        <f t="shared" si="85"/>
        <v>1</v>
      </c>
      <c r="AH55" s="27">
        <f t="shared" si="86"/>
        <v>1</v>
      </c>
      <c r="AI55" s="27">
        <f t="shared" si="87"/>
        <v>0.9979057456644869</v>
      </c>
      <c r="AJ55" s="24">
        <f t="shared" si="39"/>
        <v>0.725570297797145</v>
      </c>
      <c r="AM55" s="27">
        <f t="shared" si="40"/>
        <v>773.7000274658203</v>
      </c>
      <c r="AN55" s="27">
        <f t="shared" si="88"/>
        <v>1</v>
      </c>
      <c r="AO55" s="27">
        <f t="shared" si="89"/>
        <v>0.8060203807834054</v>
      </c>
      <c r="AP55" s="27">
        <f t="shared" si="59"/>
        <v>623.6179907501318</v>
      </c>
      <c r="AQ55" s="27">
        <f t="shared" si="90"/>
        <v>0.03881191883912331</v>
      </c>
      <c r="AR55" s="27">
        <f t="shared" si="91"/>
        <v>2.1424179199196067</v>
      </c>
      <c r="AS55" s="27">
        <f t="shared" si="43"/>
        <v>0.9511682431700508</v>
      </c>
      <c r="AT55" s="25">
        <f t="shared" si="44"/>
        <v>12.70808672345215</v>
      </c>
      <c r="AU55" s="25">
        <f t="shared" si="92"/>
        <v>5.97280076002251</v>
      </c>
      <c r="AW55" s="25">
        <f t="shared" si="93"/>
        <v>0.6</v>
      </c>
      <c r="AX55" s="25">
        <f t="shared" si="94"/>
        <v>0.10127545223730838</v>
      </c>
      <c r="AY55" s="25">
        <f t="shared" si="95"/>
        <v>0.24804067500209503</v>
      </c>
      <c r="AZ55" s="25">
        <f t="shared" si="61"/>
        <v>0.6828076694801957</v>
      </c>
      <c r="BA55" s="25">
        <f t="shared" si="62"/>
        <v>0.0691516555177093</v>
      </c>
      <c r="BB55" s="25">
        <f t="shared" si="96"/>
        <v>0.4130290606329889</v>
      </c>
      <c r="BC55" s="25">
        <f t="shared" si="97"/>
        <v>1.4814975321690096</v>
      </c>
      <c r="BD55" s="25">
        <f t="shared" si="98"/>
        <v>4.078274167220512</v>
      </c>
      <c r="BG55" s="76">
        <f t="shared" si="116"/>
        <v>31199</v>
      </c>
      <c r="BH55" s="30">
        <f t="shared" si="99"/>
        <v>30</v>
      </c>
      <c r="BI55" s="27">
        <f>'PSP-1 Metdata'!D56</f>
        <v>18.049999713897705</v>
      </c>
      <c r="BJ55" s="28">
        <f>'PSP-1 Metdata'!E56</f>
        <v>22.899999618530273</v>
      </c>
      <c r="BK55" s="28">
        <f>'PSP-1 Metdata'!F56</f>
        <v>13.199999809265137</v>
      </c>
      <c r="BL55" s="28">
        <f>'PSP-1 Metdata'!G56</f>
        <v>8</v>
      </c>
      <c r="BM55" s="28">
        <f>'PSP-1 Metdata'!I56</f>
        <v>25.790000915527344</v>
      </c>
      <c r="BN55" s="28">
        <f>'PSP-1 Metdata'!J56</f>
        <v>4</v>
      </c>
      <c r="BO55" s="28">
        <f>'PSP-1 Metdata'!K56</f>
        <v>0</v>
      </c>
      <c r="BP55" s="25">
        <f>'PSP-1 Metdata'!L56</f>
        <v>27.92152518624335</v>
      </c>
      <c r="BQ55" s="25">
        <f>'PSP-1 Metdata'!M56</f>
        <v>15.173490572440487</v>
      </c>
      <c r="BR55" s="25">
        <f>'PSP-1 Metdata'!N56</f>
        <v>6.374017306901432</v>
      </c>
      <c r="BT55" s="25">
        <f t="shared" si="48"/>
        <v>53082.57808162483</v>
      </c>
      <c r="BU55" s="25">
        <f t="shared" si="100"/>
        <v>298.67744329780186</v>
      </c>
      <c r="BV55" s="25">
        <f t="shared" si="101"/>
        <v>0.2</v>
      </c>
      <c r="BW55" s="25">
        <f t="shared" si="102"/>
        <v>2340.722726792645</v>
      </c>
      <c r="BX55" s="25">
        <f t="shared" si="103"/>
        <v>0.0142935359864525</v>
      </c>
      <c r="BY55" s="25">
        <f t="shared" si="104"/>
        <v>17.192338927859502</v>
      </c>
      <c r="BZ55" s="25">
        <f t="shared" si="105"/>
        <v>174.36912537769788</v>
      </c>
      <c r="CA55" s="27">
        <f t="shared" si="106"/>
        <v>3.7625864686529584</v>
      </c>
      <c r="CB55" s="139">
        <f t="shared" si="50"/>
        <v>112.87759405958876</v>
      </c>
      <c r="CD55" s="27">
        <f>IF(CJ54&lt;'DadosReais&amp;Graficos'!MinASW,'DadosReais&amp;Graficos'!MinASW,IF(CJ54&gt;'DadosReais&amp;Graficos'!MaxASW,'DadosReais&amp;Graficos'!MaxASW,CJ54))</f>
        <v>100.50698472672526</v>
      </c>
      <c r="CE55" s="25">
        <f t="shared" si="107"/>
        <v>1.2</v>
      </c>
      <c r="CG55" s="27">
        <f t="shared" si="108"/>
        <v>108.50698472672526</v>
      </c>
      <c r="CH55" s="27">
        <f t="shared" si="51"/>
        <v>108.50698472672526</v>
      </c>
      <c r="CI55" s="27">
        <f>MAX(CG55-CH55-'DadosReais&amp;Graficos'!MaxASW,0)</f>
        <v>0</v>
      </c>
      <c r="CJ55" s="27">
        <f t="shared" si="63"/>
        <v>0</v>
      </c>
      <c r="CK55" s="27">
        <f>poolFractn*Month!CI55</f>
        <v>0</v>
      </c>
      <c r="CQ55" s="25">
        <f>SIN(PI()*'DadosReais&amp;Graficos'!Lat/180)</f>
        <v>0.6293203910498374</v>
      </c>
      <c r="CR55" s="25">
        <f>COS(PI()*'DadosReais&amp;Graficos'!Lat/180)</f>
        <v>0.7771459614569709</v>
      </c>
      <c r="CS55" s="25">
        <f t="shared" si="65"/>
        <v>1985</v>
      </c>
      <c r="CT55" s="29">
        <f t="shared" si="66"/>
        <v>31048</v>
      </c>
      <c r="CU55" s="30">
        <f t="shared" si="52"/>
        <v>6</v>
      </c>
      <c r="CV55" s="27">
        <f t="shared" si="109"/>
        <v>166</v>
      </c>
      <c r="CW55" s="25">
        <f t="shared" si="67"/>
        <v>0.3983231954255811</v>
      </c>
      <c r="CX55" s="25">
        <f t="shared" si="110"/>
        <v>-0.3516571006926921</v>
      </c>
      <c r="CY55" s="25">
        <f t="shared" si="68"/>
        <v>0.6143816907595466</v>
      </c>
      <c r="CZ55" s="25">
        <f t="shared" si="69"/>
        <v>53082.57808162483</v>
      </c>
    </row>
    <row r="56" spans="1:104" ht="12.75">
      <c r="A56" s="149">
        <f t="shared" si="111"/>
        <v>31226</v>
      </c>
      <c r="B56" s="60">
        <f t="shared" si="71"/>
        <v>10.25</v>
      </c>
      <c r="C56" s="78">
        <f t="shared" si="53"/>
        <v>10.250000000000009</v>
      </c>
      <c r="D56" s="171">
        <f t="shared" si="30"/>
        <v>350891.93443916785</v>
      </c>
      <c r="E56" s="30">
        <f t="shared" si="70"/>
        <v>1111</v>
      </c>
      <c r="F56" s="27">
        <f t="shared" si="112"/>
        <v>8.50629095833654</v>
      </c>
      <c r="G56" s="27">
        <f t="shared" si="113"/>
        <v>29.429117118424216</v>
      </c>
      <c r="H56" s="27">
        <f t="shared" si="114"/>
        <v>115.53538207782165</v>
      </c>
      <c r="I56" s="27">
        <f t="shared" si="33"/>
        <v>124.04167303615819</v>
      </c>
      <c r="J56" s="27">
        <f t="shared" si="55"/>
        <v>153.4707901545824</v>
      </c>
      <c r="K56" s="27">
        <f t="shared" si="72"/>
        <v>4.000060923355187</v>
      </c>
      <c r="L56" s="27">
        <f t="shared" si="73"/>
        <v>3.4025682065131546</v>
      </c>
      <c r="M56" s="27">
        <f t="shared" si="115"/>
        <v>4.661361156709616</v>
      </c>
      <c r="O56" s="25">
        <f t="shared" si="74"/>
        <v>0.013</v>
      </c>
      <c r="P56" s="25">
        <f t="shared" si="75"/>
        <v>0.11058178245837502</v>
      </c>
      <c r="Q56" s="25">
        <f t="shared" si="76"/>
        <v>0.29429117118424214</v>
      </c>
      <c r="S56" s="27">
        <f t="shared" si="57"/>
        <v>103.99224309434892</v>
      </c>
      <c r="T56" s="27">
        <f t="shared" si="77"/>
        <v>16.171853283744145</v>
      </c>
      <c r="U56" s="27">
        <f t="shared" si="78"/>
        <v>0.16719382581008752</v>
      </c>
      <c r="V56" s="27">
        <f t="shared" si="79"/>
        <v>0.45</v>
      </c>
      <c r="W56" s="27">
        <f t="shared" si="80"/>
        <v>213.81906562622316</v>
      </c>
      <c r="X56" s="27">
        <f t="shared" si="81"/>
        <v>20.860396646460778</v>
      </c>
      <c r="Y56" s="27">
        <f t="shared" si="82"/>
        <v>22.820414345473246</v>
      </c>
      <c r="AA56" s="24">
        <f t="shared" si="83"/>
        <v>0.8926247712327672</v>
      </c>
      <c r="AB56" s="23">
        <f t="shared" si="84"/>
        <v>0.6877803702337612</v>
      </c>
      <c r="AC56" s="23">
        <f>IF('DadosReais&amp;Graficos'!soilClass&gt;0,0.8-0.1*'DadosReais&amp;Graficos'!soilClass,IF('DadosReais&amp;Graficos'!soilClass&lt;0,SWconst0,999))</f>
        <v>0.6000000000000001</v>
      </c>
      <c r="AD56" s="23">
        <f>IF('DadosReais&amp;Graficos'!soilClass&gt;0,11-2*'DadosReais&amp;Graficos'!soilClass,SWpower0)</f>
        <v>7</v>
      </c>
      <c r="AE56" s="24">
        <f>1/(1+((1-CD56/'DadosReais&amp;Graficos'!MaxASW)/AC56)^AD56)</f>
        <v>0.027231297938041656</v>
      </c>
      <c r="AF56" s="24">
        <f t="shared" si="58"/>
        <v>0.6</v>
      </c>
      <c r="AG56" s="27">
        <f t="shared" si="85"/>
        <v>1</v>
      </c>
      <c r="AH56" s="27">
        <f t="shared" si="86"/>
        <v>1</v>
      </c>
      <c r="AI56" s="27">
        <f t="shared" si="87"/>
        <v>0.9978363831340755</v>
      </c>
      <c r="AJ56" s="24">
        <f t="shared" si="39"/>
        <v>0.027172379842541894</v>
      </c>
      <c r="AM56" s="27">
        <f t="shared" si="40"/>
        <v>830.6199913024902</v>
      </c>
      <c r="AN56" s="27">
        <f t="shared" si="88"/>
        <v>1</v>
      </c>
      <c r="AO56" s="27">
        <f t="shared" si="89"/>
        <v>0.8175509099045069</v>
      </c>
      <c r="AP56" s="27">
        <f t="shared" si="59"/>
        <v>679.0741296742244</v>
      </c>
      <c r="AQ56" s="27">
        <f t="shared" si="90"/>
        <v>0.0013340106637439349</v>
      </c>
      <c r="AR56" s="27">
        <f t="shared" si="91"/>
        <v>0.0736373886386652</v>
      </c>
      <c r="AS56" s="27">
        <f t="shared" si="43"/>
        <v>0.541946132855836</v>
      </c>
      <c r="AT56" s="25">
        <f t="shared" si="44"/>
        <v>0.27100149476122276</v>
      </c>
      <c r="AU56" s="25">
        <f t="shared" si="92"/>
        <v>0.1273707025377747</v>
      </c>
      <c r="AW56" s="25">
        <f t="shared" si="93"/>
        <v>0.6</v>
      </c>
      <c r="AX56" s="25">
        <f t="shared" si="94"/>
        <v>0.10057467490277057</v>
      </c>
      <c r="AY56" s="25">
        <f t="shared" si="95"/>
        <v>0.481676388687557</v>
      </c>
      <c r="AZ56" s="25">
        <f t="shared" si="61"/>
        <v>0.47095724000575784</v>
      </c>
      <c r="BA56" s="25">
        <f t="shared" si="62"/>
        <v>0.04736637130668514</v>
      </c>
      <c r="BB56" s="25">
        <f t="shared" si="96"/>
        <v>0.006033087989997579</v>
      </c>
      <c r="BC56" s="25">
        <f t="shared" si="97"/>
        <v>0.06135146002299237</v>
      </c>
      <c r="BD56" s="25">
        <f t="shared" si="98"/>
        <v>0.05998615452478474</v>
      </c>
      <c r="BG56" s="76">
        <f t="shared" si="116"/>
        <v>31229</v>
      </c>
      <c r="BH56" s="30">
        <f t="shared" si="99"/>
        <v>31</v>
      </c>
      <c r="BI56" s="27">
        <f>'PSP-1 Metdata'!D57</f>
        <v>20.249999523162842</v>
      </c>
      <c r="BJ56" s="28">
        <f>'PSP-1 Metdata'!E57</f>
        <v>25.299999237060547</v>
      </c>
      <c r="BK56" s="28">
        <f>'PSP-1 Metdata'!F57</f>
        <v>15.199999809265137</v>
      </c>
      <c r="BL56" s="28">
        <f>'PSP-1 Metdata'!G57</f>
        <v>3.6</v>
      </c>
      <c r="BM56" s="28">
        <f>'PSP-1 Metdata'!I57</f>
        <v>26.794193267822266</v>
      </c>
      <c r="BN56" s="28">
        <f>'PSP-1 Metdata'!J57</f>
        <v>2</v>
      </c>
      <c r="BO56" s="28">
        <f>'PSP-1 Metdata'!K57</f>
        <v>0</v>
      </c>
      <c r="BP56" s="25">
        <f>'PSP-1 Metdata'!L57</f>
        <v>32.244111824970304</v>
      </c>
      <c r="BQ56" s="25">
        <f>'PSP-1 Metdata'!M57</f>
        <v>17.272682971981894</v>
      </c>
      <c r="BR56" s="25">
        <f>'PSP-1 Metdata'!N57</f>
        <v>7.485714426494205</v>
      </c>
      <c r="BT56" s="25">
        <f t="shared" si="48"/>
        <v>51987.026278968784</v>
      </c>
      <c r="BU56" s="25">
        <f t="shared" si="100"/>
        <v>322.32122990134235</v>
      </c>
      <c r="BV56" s="25">
        <f t="shared" si="101"/>
        <v>0.2</v>
      </c>
      <c r="BW56" s="25">
        <f t="shared" si="102"/>
        <v>2748.9699259841555</v>
      </c>
      <c r="BX56" s="25">
        <f t="shared" si="103"/>
        <v>0.0005434475968508379</v>
      </c>
      <c r="BY56" s="25">
        <f t="shared" si="104"/>
        <v>371.2207643919249</v>
      </c>
      <c r="BZ56" s="25">
        <f t="shared" si="105"/>
        <v>9.315418110922709</v>
      </c>
      <c r="CA56" s="27">
        <f t="shared" si="106"/>
        <v>0.19686214883419537</v>
      </c>
      <c r="CB56" s="139">
        <f t="shared" si="50"/>
        <v>6.102726613860057</v>
      </c>
      <c r="CD56" s="27">
        <f>IF(CJ55&lt;'DadosReais&amp;Graficos'!MinASW,'DadosReais&amp;Graficos'!MinASW,IF(CJ55&gt;'DadosReais&amp;Graficos'!MaxASW,'DadosReais&amp;Graficos'!MaxASW,CJ55))</f>
        <v>0</v>
      </c>
      <c r="CE56" s="25">
        <f t="shared" si="107"/>
        <v>0.54</v>
      </c>
      <c r="CG56" s="27">
        <f t="shared" si="108"/>
        <v>3.6</v>
      </c>
      <c r="CH56" s="27">
        <f t="shared" si="51"/>
        <v>3.6</v>
      </c>
      <c r="CI56" s="27">
        <f>MAX(CG56-CH56-'DadosReais&amp;Graficos'!MaxASW,0)</f>
        <v>0</v>
      </c>
      <c r="CJ56" s="27">
        <f t="shared" si="63"/>
        <v>0</v>
      </c>
      <c r="CK56" s="27">
        <f>poolFractn*Month!CI56</f>
        <v>0</v>
      </c>
      <c r="CQ56" s="25">
        <f>SIN(PI()*'DadosReais&amp;Graficos'!Lat/180)</f>
        <v>0.6293203910498374</v>
      </c>
      <c r="CR56" s="25">
        <f>COS(PI()*'DadosReais&amp;Graficos'!Lat/180)</f>
        <v>0.7771459614569709</v>
      </c>
      <c r="CS56" s="25">
        <f t="shared" si="65"/>
        <v>1985</v>
      </c>
      <c r="CT56" s="29">
        <f t="shared" si="66"/>
        <v>31048</v>
      </c>
      <c r="CU56" s="30">
        <f t="shared" si="52"/>
        <v>7</v>
      </c>
      <c r="CV56" s="27">
        <f t="shared" si="109"/>
        <v>197</v>
      </c>
      <c r="CW56" s="25">
        <f t="shared" si="67"/>
        <v>0.3616269729601193</v>
      </c>
      <c r="CX56" s="25">
        <f t="shared" si="110"/>
        <v>-0.3140969275246581</v>
      </c>
      <c r="CY56" s="25">
        <f t="shared" si="68"/>
        <v>0.6017016930436202</v>
      </c>
      <c r="CZ56" s="25">
        <f t="shared" si="69"/>
        <v>51987.026278968784</v>
      </c>
    </row>
    <row r="57" spans="1:104" ht="12.75">
      <c r="A57" s="149">
        <f t="shared" si="111"/>
        <v>31256</v>
      </c>
      <c r="B57" s="60">
        <f t="shared" si="71"/>
        <v>10.33</v>
      </c>
      <c r="C57" s="78">
        <f t="shared" si="53"/>
        <v>10.333333333333343</v>
      </c>
      <c r="D57" s="171">
        <f t="shared" si="30"/>
        <v>351877.6420002714</v>
      </c>
      <c r="E57" s="30">
        <f t="shared" si="70"/>
        <v>1111</v>
      </c>
      <c r="F57" s="27">
        <f t="shared" si="112"/>
        <v>8.401742263868163</v>
      </c>
      <c r="G57" s="27">
        <f t="shared" si="113"/>
        <v>29.19617740726297</v>
      </c>
      <c r="H57" s="27">
        <f t="shared" si="114"/>
        <v>115.59536823234643</v>
      </c>
      <c r="I57" s="27">
        <f t="shared" si="33"/>
        <v>123.99711049621459</v>
      </c>
      <c r="J57" s="27">
        <f t="shared" si="55"/>
        <v>153.19328790347757</v>
      </c>
      <c r="K57" s="27">
        <f t="shared" si="72"/>
        <v>4.0000503695189265</v>
      </c>
      <c r="L57" s="27">
        <f t="shared" si="73"/>
        <v>3.360739224718863</v>
      </c>
      <c r="M57" s="27">
        <f t="shared" si="115"/>
        <v>4.7719429391679915</v>
      </c>
      <c r="O57" s="25">
        <f t="shared" si="74"/>
        <v>0.013</v>
      </c>
      <c r="P57" s="25">
        <f t="shared" si="75"/>
        <v>0.10922264943028612</v>
      </c>
      <c r="Q57" s="25">
        <f t="shared" si="76"/>
        <v>0.2919617740726297</v>
      </c>
      <c r="S57" s="27">
        <f t="shared" si="57"/>
        <v>104.04623603271506</v>
      </c>
      <c r="T57" s="27">
        <f t="shared" si="77"/>
        <v>16.174955448447136</v>
      </c>
      <c r="U57" s="27">
        <f t="shared" si="78"/>
        <v>0.1667043509651313</v>
      </c>
      <c r="V57" s="27">
        <f t="shared" si="79"/>
        <v>0.45</v>
      </c>
      <c r="W57" s="27">
        <f t="shared" si="80"/>
        <v>214.0558164368839</v>
      </c>
      <c r="X57" s="27">
        <f t="shared" si="81"/>
        <v>20.715079010021004</v>
      </c>
      <c r="Y57" s="27">
        <f t="shared" si="82"/>
        <v>22.82917023418296</v>
      </c>
      <c r="AA57" s="24">
        <f t="shared" si="83"/>
        <v>0.92870793040041</v>
      </c>
      <c r="AB57" s="23">
        <f t="shared" si="84"/>
        <v>0.6527342073431843</v>
      </c>
      <c r="AC57" s="23">
        <f>IF('DadosReais&amp;Graficos'!soilClass&gt;0,0.8-0.1*'DadosReais&amp;Graficos'!soilClass,IF('DadosReais&amp;Graficos'!soilClass&lt;0,SWconst0,999))</f>
        <v>0.6000000000000001</v>
      </c>
      <c r="AD57" s="23">
        <f>IF('DadosReais&amp;Graficos'!soilClass&gt;0,11-2*'DadosReais&amp;Graficos'!soilClass,SWpower0)</f>
        <v>7</v>
      </c>
      <c r="AE57" s="24">
        <f>1/(1+((1-CD57/'DadosReais&amp;Graficos'!MaxASW)/AC57)^AD57)</f>
        <v>0.027231297938041656</v>
      </c>
      <c r="AF57" s="24">
        <f t="shared" si="58"/>
        <v>0.6</v>
      </c>
      <c r="AG57" s="27">
        <f t="shared" si="85"/>
        <v>1</v>
      </c>
      <c r="AH57" s="27">
        <f t="shared" si="86"/>
        <v>1</v>
      </c>
      <c r="AI57" s="27">
        <f t="shared" si="87"/>
        <v>0.997765318045939</v>
      </c>
      <c r="AJ57" s="24">
        <f t="shared" si="39"/>
        <v>0.027170444647953856</v>
      </c>
      <c r="AM57" s="27">
        <f t="shared" si="40"/>
        <v>817.5500259399414</v>
      </c>
      <c r="AN57" s="27">
        <f t="shared" si="88"/>
        <v>1</v>
      </c>
      <c r="AO57" s="27">
        <f t="shared" si="89"/>
        <v>0.8136948973565974</v>
      </c>
      <c r="AP57" s="27">
        <f t="shared" si="59"/>
        <v>665.2362844410842</v>
      </c>
      <c r="AQ57" s="27">
        <f t="shared" si="90"/>
        <v>0.0013878374079383067</v>
      </c>
      <c r="AR57" s="27">
        <f t="shared" si="91"/>
        <v>0.07660862491819452</v>
      </c>
      <c r="AS57" s="27">
        <f t="shared" si="43"/>
        <v>0</v>
      </c>
      <c r="AT57" s="25">
        <f t="shared" si="44"/>
        <v>0</v>
      </c>
      <c r="AU57" s="25">
        <f t="shared" si="92"/>
        <v>0</v>
      </c>
      <c r="AW57" s="25">
        <f t="shared" si="93"/>
        <v>0.6</v>
      </c>
      <c r="AX57" s="25">
        <f t="shared" si="94"/>
        <v>0.10056458861728404</v>
      </c>
      <c r="AY57" s="25">
        <f t="shared" si="95"/>
        <v>0.48167764585904227</v>
      </c>
      <c r="AZ57" s="25">
        <f t="shared" si="61"/>
        <v>0.4709604138655435</v>
      </c>
      <c r="BA57" s="25">
        <f t="shared" si="62"/>
        <v>0.04736194027541424</v>
      </c>
      <c r="BB57" s="25">
        <f t="shared" si="96"/>
        <v>0</v>
      </c>
      <c r="BC57" s="25">
        <f t="shared" si="97"/>
        <v>0</v>
      </c>
      <c r="BD57" s="25">
        <f t="shared" si="98"/>
        <v>0</v>
      </c>
      <c r="BG57" s="76">
        <f t="shared" si="116"/>
        <v>31260</v>
      </c>
      <c r="BH57" s="30">
        <f t="shared" si="99"/>
        <v>31</v>
      </c>
      <c r="BI57" s="27">
        <f>'PSP-1 Metdata'!D58</f>
        <v>19.399999618530273</v>
      </c>
      <c r="BJ57" s="28">
        <f>'PSP-1 Metdata'!E58</f>
        <v>25.399999618530273</v>
      </c>
      <c r="BK57" s="28">
        <f>'PSP-1 Metdata'!F58</f>
        <v>13.399999618530273</v>
      </c>
      <c r="BL57" s="28">
        <f>'PSP-1 Metdata'!G58</f>
        <v>0</v>
      </c>
      <c r="BM57" s="28">
        <f>'PSP-1 Metdata'!I58</f>
        <v>26.372581481933594</v>
      </c>
      <c r="BN57" s="28">
        <f>'PSP-1 Metdata'!J58</f>
        <v>0</v>
      </c>
      <c r="BO57" s="28">
        <f>'PSP-1 Metdata'!K58</f>
        <v>0</v>
      </c>
      <c r="BP57" s="25">
        <f>'PSP-1 Metdata'!L58</f>
        <v>32.436223066589996</v>
      </c>
      <c r="BQ57" s="25">
        <f>'PSP-1 Metdata'!M58</f>
        <v>15.372812437338062</v>
      </c>
      <c r="BR57" s="25">
        <f>'PSP-1 Metdata'!N58</f>
        <v>8.531705314625967</v>
      </c>
      <c r="BT57" s="25">
        <f t="shared" si="48"/>
        <v>48361.75661678577</v>
      </c>
      <c r="BU57" s="25">
        <f t="shared" si="100"/>
        <v>346.25514583198566</v>
      </c>
      <c r="BV57" s="25">
        <f t="shared" si="101"/>
        <v>0.2</v>
      </c>
      <c r="BW57" s="25">
        <f t="shared" si="102"/>
        <v>3133.0879046437167</v>
      </c>
      <c r="BX57" s="25">
        <f t="shared" si="103"/>
        <v>0.0005434088929590771</v>
      </c>
      <c r="BY57" s="25">
        <f t="shared" si="104"/>
        <v>371.2469763954738</v>
      </c>
      <c r="BZ57" s="25">
        <f t="shared" si="105"/>
        <v>10.491261809833748</v>
      </c>
      <c r="CA57" s="27">
        <f t="shared" si="106"/>
        <v>0.206250345630146</v>
      </c>
      <c r="CB57" s="139">
        <f t="shared" si="50"/>
        <v>6.393760714534526</v>
      </c>
      <c r="CD57" s="27">
        <f>IF(CJ56&lt;'DadosReais&amp;Graficos'!MinASW,'DadosReais&amp;Graficos'!MinASW,IF(CJ56&gt;'DadosReais&amp;Graficos'!MaxASW,'DadosReais&amp;Graficos'!MaxASW,CJ56))</f>
        <v>0</v>
      </c>
      <c r="CE57" s="25">
        <f t="shared" si="107"/>
        <v>0</v>
      </c>
      <c r="CG57" s="27">
        <f t="shared" si="108"/>
        <v>0</v>
      </c>
      <c r="CH57" s="27">
        <f t="shared" si="51"/>
        <v>0</v>
      </c>
      <c r="CI57" s="27">
        <f>MAX(CG57-CH57-'DadosReais&amp;Graficos'!MaxASW,0)</f>
        <v>0</v>
      </c>
      <c r="CJ57" s="27">
        <f t="shared" si="63"/>
        <v>0</v>
      </c>
      <c r="CK57" s="27">
        <f>poolFractn*Month!CI57</f>
        <v>0</v>
      </c>
      <c r="CQ57" s="25">
        <f>SIN(PI()*'DadosReais&amp;Graficos'!Lat/180)</f>
        <v>0.6293203910498374</v>
      </c>
      <c r="CR57" s="25">
        <f>COS(PI()*'DadosReais&amp;Graficos'!Lat/180)</f>
        <v>0.7771459614569709</v>
      </c>
      <c r="CS57" s="25">
        <f t="shared" si="65"/>
        <v>1985</v>
      </c>
      <c r="CT57" s="29">
        <f t="shared" si="66"/>
        <v>31048</v>
      </c>
      <c r="CU57" s="30">
        <f t="shared" si="52"/>
        <v>8</v>
      </c>
      <c r="CV57" s="27">
        <f t="shared" si="109"/>
        <v>228</v>
      </c>
      <c r="CW57" s="25">
        <f t="shared" si="67"/>
        <v>0.2245322171168967</v>
      </c>
      <c r="CX57" s="25">
        <f t="shared" si="110"/>
        <v>-0.18658678708195917</v>
      </c>
      <c r="CY57" s="25">
        <f t="shared" si="68"/>
        <v>0.5597425534350206</v>
      </c>
      <c r="CZ57" s="25">
        <f t="shared" si="69"/>
        <v>48361.75661678577</v>
      </c>
    </row>
    <row r="58" spans="1:104" ht="12.75">
      <c r="A58" s="149">
        <f t="shared" si="111"/>
        <v>31287</v>
      </c>
      <c r="B58" s="60">
        <f t="shared" si="71"/>
        <v>10.42</v>
      </c>
      <c r="C58" s="78">
        <f t="shared" si="53"/>
        <v>10.416666666666677</v>
      </c>
      <c r="D58" s="171">
        <f t="shared" si="30"/>
        <v>353310.7531538844</v>
      </c>
      <c r="E58" s="30">
        <f t="shared" si="70"/>
        <v>1111</v>
      </c>
      <c r="F58" s="27">
        <f t="shared" si="112"/>
        <v>8.292519614437877</v>
      </c>
      <c r="G58" s="27">
        <f t="shared" si="113"/>
        <v>28.90421563319034</v>
      </c>
      <c r="H58" s="27">
        <f t="shared" si="114"/>
        <v>115.59536823234643</v>
      </c>
      <c r="I58" s="27">
        <f t="shared" si="33"/>
        <v>123.88788784678431</v>
      </c>
      <c r="J58" s="27">
        <f t="shared" si="55"/>
        <v>152.79210347997466</v>
      </c>
      <c r="K58" s="27">
        <f t="shared" si="72"/>
        <v>4.000041579842268</v>
      </c>
      <c r="L58" s="27">
        <f t="shared" si="73"/>
        <v>3.3170423259409083</v>
      </c>
      <c r="M58" s="27">
        <f t="shared" si="115"/>
        <v>4.881165588598278</v>
      </c>
      <c r="O58" s="25">
        <f t="shared" si="74"/>
        <v>0.013</v>
      </c>
      <c r="P58" s="25">
        <f t="shared" si="75"/>
        <v>0.1078027549876924</v>
      </c>
      <c r="Q58" s="25">
        <f t="shared" si="76"/>
        <v>0.2890421563319034</v>
      </c>
      <c r="S58" s="27">
        <f t="shared" si="57"/>
        <v>104.04623603271506</v>
      </c>
      <c r="T58" s="27">
        <f t="shared" si="77"/>
        <v>16.174955448447136</v>
      </c>
      <c r="U58" s="27">
        <f t="shared" si="78"/>
        <v>0.16622881051886512</v>
      </c>
      <c r="V58" s="27">
        <f t="shared" si="79"/>
        <v>0.45</v>
      </c>
      <c r="W58" s="27">
        <f t="shared" si="80"/>
        <v>214.17797259909614</v>
      </c>
      <c r="X58" s="27">
        <f t="shared" si="81"/>
        <v>20.561085369513208</v>
      </c>
      <c r="Y58" s="27">
        <f t="shared" si="82"/>
        <v>22.82917023418296</v>
      </c>
      <c r="AA58" s="24">
        <f t="shared" si="83"/>
        <v>0.8244805407436738</v>
      </c>
      <c r="AB58" s="23">
        <f t="shared" si="84"/>
        <v>0.5839611881771931</v>
      </c>
      <c r="AC58" s="23">
        <f>IF('DadosReais&amp;Graficos'!soilClass&gt;0,0.8-0.1*'DadosReais&amp;Graficos'!soilClass,IF('DadosReais&amp;Graficos'!soilClass&lt;0,SWconst0,999))</f>
        <v>0.6000000000000001</v>
      </c>
      <c r="AD58" s="23">
        <f>IF('DadosReais&amp;Graficos'!soilClass&gt;0,11-2*'DadosReais&amp;Graficos'!soilClass,SWpower0)</f>
        <v>7</v>
      </c>
      <c r="AE58" s="24">
        <f>1/(1+((1-CD58/'DadosReais&amp;Graficos'!MaxASW)/AC58)^AD58)</f>
        <v>0.027231297938041656</v>
      </c>
      <c r="AF58" s="24">
        <f t="shared" si="58"/>
        <v>0.6</v>
      </c>
      <c r="AG58" s="27">
        <f t="shared" si="85"/>
        <v>1</v>
      </c>
      <c r="AH58" s="27">
        <f t="shared" si="86"/>
        <v>1</v>
      </c>
      <c r="AI58" s="27">
        <f t="shared" si="87"/>
        <v>0.9976925231802549</v>
      </c>
      <c r="AJ58" s="24">
        <f t="shared" si="39"/>
        <v>0.027168462349278052</v>
      </c>
      <c r="AM58" s="27">
        <f t="shared" si="40"/>
        <v>549.1299819946289</v>
      </c>
      <c r="AN58" s="27">
        <f t="shared" si="88"/>
        <v>1</v>
      </c>
      <c r="AO58" s="27">
        <f t="shared" si="89"/>
        <v>0.8095796273183444</v>
      </c>
      <c r="AP58" s="27">
        <f t="shared" si="59"/>
        <v>444.56444617254084</v>
      </c>
      <c r="AQ58" s="27">
        <f t="shared" si="90"/>
        <v>0.0012319927690898802</v>
      </c>
      <c r="AR58" s="27">
        <f t="shared" si="91"/>
        <v>0.06800600085376138</v>
      </c>
      <c r="AS58" s="27">
        <f t="shared" si="43"/>
        <v>1</v>
      </c>
      <c r="AT58" s="25">
        <f t="shared" si="44"/>
        <v>0.3023305010596177</v>
      </c>
      <c r="AU58" s="25">
        <f t="shared" si="92"/>
        <v>0.1420953354980203</v>
      </c>
      <c r="AW58" s="25">
        <f t="shared" si="93"/>
        <v>0.6</v>
      </c>
      <c r="AX58" s="25">
        <f t="shared" si="94"/>
        <v>0.10056458861728404</v>
      </c>
      <c r="AY58" s="25">
        <f t="shared" si="95"/>
        <v>0.4816789336378283</v>
      </c>
      <c r="AZ58" s="25">
        <f t="shared" si="61"/>
        <v>0.47095924375812825</v>
      </c>
      <c r="BA58" s="25">
        <f t="shared" si="62"/>
        <v>0.047361822604043424</v>
      </c>
      <c r="BB58" s="25">
        <f t="shared" si="96"/>
        <v>0.006729894072719273</v>
      </c>
      <c r="BC58" s="25">
        <f t="shared" si="97"/>
        <v>0.06844432967759588</v>
      </c>
      <c r="BD58" s="25">
        <f t="shared" si="98"/>
        <v>0.06692111174770517</v>
      </c>
      <c r="BG58" s="76">
        <f t="shared" si="116"/>
        <v>31291</v>
      </c>
      <c r="BH58" s="30">
        <f t="shared" si="99"/>
        <v>30</v>
      </c>
      <c r="BI58" s="27">
        <f>'PSP-1 Metdata'!D59</f>
        <v>21.59999942779541</v>
      </c>
      <c r="BJ58" s="28">
        <f>'PSP-1 Metdata'!E59</f>
        <v>28.299999237060547</v>
      </c>
      <c r="BK58" s="28">
        <f>'PSP-1 Metdata'!F59</f>
        <v>14.899999618530273</v>
      </c>
      <c r="BL58" s="28">
        <f>'PSP-1 Metdata'!G59</f>
        <v>16.160000610351563</v>
      </c>
      <c r="BM58" s="28">
        <f>'PSP-1 Metdata'!I59</f>
        <v>18.304332733154297</v>
      </c>
      <c r="BN58" s="28">
        <f>'PSP-1 Metdata'!J59</f>
        <v>5</v>
      </c>
      <c r="BO58" s="28">
        <f>'PSP-1 Metdata'!K59</f>
        <v>0</v>
      </c>
      <c r="BP58" s="25">
        <f>'PSP-1 Metdata'!L59</f>
        <v>38.459254437876496</v>
      </c>
      <c r="BQ58" s="25">
        <f>'PSP-1 Metdata'!M59</f>
        <v>16.942424159353404</v>
      </c>
      <c r="BR58" s="25">
        <f>'PSP-1 Metdata'!N59</f>
        <v>10.758415139261546</v>
      </c>
      <c r="BT58" s="25">
        <f t="shared" si="48"/>
        <v>43912.27946472623</v>
      </c>
      <c r="BU58" s="25">
        <f t="shared" si="100"/>
        <v>243.47087340993568</v>
      </c>
      <c r="BV58" s="25">
        <f t="shared" si="101"/>
        <v>0.2</v>
      </c>
      <c r="BW58" s="25">
        <f t="shared" si="102"/>
        <v>3950.7998814928505</v>
      </c>
      <c r="BX58" s="25">
        <f t="shared" si="103"/>
        <v>0.0005412548921518755</v>
      </c>
      <c r="BY58" s="25">
        <f t="shared" si="104"/>
        <v>372.7116716725772</v>
      </c>
      <c r="BZ58" s="25">
        <f t="shared" si="105"/>
        <v>12.037282822030832</v>
      </c>
      <c r="CA58" s="27">
        <f t="shared" si="106"/>
        <v>0.21487175905567735</v>
      </c>
      <c r="CB58" s="139">
        <f t="shared" si="50"/>
        <v>6.44615277167032</v>
      </c>
      <c r="CD58" s="27">
        <f>IF(CJ57&lt;'DadosReais&amp;Graficos'!MinASW,'DadosReais&amp;Graficos'!MinASW,IF(CJ57&gt;'DadosReais&amp;Graficos'!MaxASW,'DadosReais&amp;Graficos'!MaxASW,CJ57))</f>
        <v>0</v>
      </c>
      <c r="CE58" s="25">
        <f t="shared" si="107"/>
        <v>2.424000091552734</v>
      </c>
      <c r="CG58" s="27">
        <f t="shared" si="108"/>
        <v>16.160000610351563</v>
      </c>
      <c r="CH58" s="27">
        <f t="shared" si="51"/>
        <v>8.870152863223055</v>
      </c>
      <c r="CI58" s="27">
        <f>MAX(CG58-CH58-'DadosReais&amp;Graficos'!MaxASW,0)</f>
        <v>0</v>
      </c>
      <c r="CJ58" s="27">
        <f t="shared" si="63"/>
        <v>7.289847747128508</v>
      </c>
      <c r="CK58" s="27">
        <f>poolFractn*Month!CI58</f>
        <v>0</v>
      </c>
      <c r="CQ58" s="25">
        <f>SIN(PI()*'DadosReais&amp;Graficos'!Lat/180)</f>
        <v>0.6293203910498374</v>
      </c>
      <c r="CR58" s="25">
        <f>COS(PI()*'DadosReais&amp;Graficos'!Lat/180)</f>
        <v>0.7771459614569709</v>
      </c>
      <c r="CS58" s="25">
        <f t="shared" si="65"/>
        <v>1985</v>
      </c>
      <c r="CT58" s="29">
        <f t="shared" si="66"/>
        <v>31048</v>
      </c>
      <c r="CU58" s="30">
        <f t="shared" si="52"/>
        <v>9</v>
      </c>
      <c r="CV58" s="27">
        <f t="shared" si="109"/>
        <v>258</v>
      </c>
      <c r="CW58" s="25">
        <f t="shared" si="67"/>
        <v>0.031962948421114835</v>
      </c>
      <c r="CX58" s="25">
        <f t="shared" si="110"/>
        <v>-0.025896316893613495</v>
      </c>
      <c r="CY58" s="25">
        <f t="shared" si="68"/>
        <v>0.5082439752861831</v>
      </c>
      <c r="CZ58" s="25">
        <f t="shared" si="69"/>
        <v>43912.27946472623</v>
      </c>
    </row>
    <row r="59" spans="1:104" ht="12.75">
      <c r="A59" s="149">
        <f t="shared" si="111"/>
        <v>31318</v>
      </c>
      <c r="B59" s="60">
        <f t="shared" si="71"/>
        <v>10.5</v>
      </c>
      <c r="C59" s="78">
        <f t="shared" si="53"/>
        <v>10.50000000000001</v>
      </c>
      <c r="D59" s="171">
        <f t="shared" si="30"/>
        <v>354225.7617593546</v>
      </c>
      <c r="E59" s="30">
        <f t="shared" si="70"/>
        <v>1111</v>
      </c>
      <c r="F59" s="27">
        <f t="shared" si="112"/>
        <v>8.191446753522904</v>
      </c>
      <c r="G59" s="27">
        <f t="shared" si="113"/>
        <v>28.683617806536034</v>
      </c>
      <c r="H59" s="27">
        <f t="shared" si="114"/>
        <v>115.66228934409413</v>
      </c>
      <c r="I59" s="27">
        <f t="shared" si="33"/>
        <v>123.85373609761703</v>
      </c>
      <c r="J59" s="27">
        <f t="shared" si="55"/>
        <v>152.53735390415306</v>
      </c>
      <c r="K59" s="27">
        <f t="shared" si="72"/>
        <v>4.000034271168834</v>
      </c>
      <c r="L59" s="27">
        <f t="shared" si="73"/>
        <v>3.2766067744546303</v>
      </c>
      <c r="M59" s="27">
        <f t="shared" si="115"/>
        <v>4.98896834358597</v>
      </c>
      <c r="O59" s="25">
        <f t="shared" si="74"/>
        <v>0.013</v>
      </c>
      <c r="P59" s="25">
        <f t="shared" si="75"/>
        <v>0.10648880779579774</v>
      </c>
      <c r="Q59" s="25">
        <f t="shared" si="76"/>
        <v>0.2868361780653603</v>
      </c>
      <c r="S59" s="27">
        <f t="shared" si="57"/>
        <v>104.1064710567904</v>
      </c>
      <c r="T59" s="27">
        <f t="shared" si="77"/>
        <v>16.178415054727573</v>
      </c>
      <c r="U59" s="27">
        <f t="shared" si="78"/>
        <v>0.16576680778600708</v>
      </c>
      <c r="V59" s="27">
        <f t="shared" si="79"/>
        <v>0.45</v>
      </c>
      <c r="W59" s="27">
        <f t="shared" si="80"/>
        <v>214.42071301844922</v>
      </c>
      <c r="X59" s="27">
        <f t="shared" si="81"/>
        <v>20.421020287471332</v>
      </c>
      <c r="Y59" s="27">
        <f t="shared" si="82"/>
        <v>22.838936985917982</v>
      </c>
      <c r="AA59" s="24">
        <f t="shared" si="83"/>
        <v>0.9886294030799171</v>
      </c>
      <c r="AB59" s="23">
        <f t="shared" si="84"/>
        <v>0.6357972111509862</v>
      </c>
      <c r="AC59" s="23">
        <f>IF('DadosReais&amp;Graficos'!soilClass&gt;0,0.8-0.1*'DadosReais&amp;Graficos'!soilClass,IF('DadosReais&amp;Graficos'!soilClass&lt;0,SWconst0,999))</f>
        <v>0.6000000000000001</v>
      </c>
      <c r="AD59" s="23">
        <f>IF('DadosReais&amp;Graficos'!soilClass&gt;0,11-2*'DadosReais&amp;Graficos'!soilClass,SWpower0)</f>
        <v>7</v>
      </c>
      <c r="AE59" s="24">
        <f>1/(1+((1-CD59/'DadosReais&amp;Graficos'!MaxASW)/AC59)^AD59)</f>
        <v>0.035030796646259875</v>
      </c>
      <c r="AF59" s="24">
        <f t="shared" si="58"/>
        <v>0.6</v>
      </c>
      <c r="AG59" s="27">
        <f t="shared" si="85"/>
        <v>1</v>
      </c>
      <c r="AH59" s="27">
        <f t="shared" si="86"/>
        <v>1</v>
      </c>
      <c r="AI59" s="27">
        <f t="shared" si="87"/>
        <v>0.9976179711249318</v>
      </c>
      <c r="AJ59" s="24">
        <f t="shared" si="39"/>
        <v>0.03494735227713184</v>
      </c>
      <c r="AM59" s="27">
        <f t="shared" si="40"/>
        <v>471.36998653411865</v>
      </c>
      <c r="AN59" s="27">
        <f t="shared" si="88"/>
        <v>1</v>
      </c>
      <c r="AO59" s="27">
        <f t="shared" si="89"/>
        <v>0.8056905693484734</v>
      </c>
      <c r="AP59" s="27">
        <f t="shared" si="59"/>
        <v>379.7783528244563</v>
      </c>
      <c r="AQ59" s="27">
        <f t="shared" si="90"/>
        <v>0.001900248901153044</v>
      </c>
      <c r="AR59" s="27">
        <f t="shared" si="91"/>
        <v>0.10489373934364801</v>
      </c>
      <c r="AS59" s="27">
        <f t="shared" si="43"/>
        <v>1</v>
      </c>
      <c r="AT59" s="25">
        <f t="shared" si="44"/>
        <v>0.3983637154952851</v>
      </c>
      <c r="AU59" s="25">
        <f t="shared" si="92"/>
        <v>0.18723094628278397</v>
      </c>
      <c r="AW59" s="25">
        <f t="shared" si="93"/>
        <v>0.6</v>
      </c>
      <c r="AX59" s="25">
        <f t="shared" si="94"/>
        <v>0.1005533436309893</v>
      </c>
      <c r="AY59" s="25">
        <f t="shared" si="95"/>
        <v>0.47667791650103286</v>
      </c>
      <c r="AZ59" s="25">
        <f t="shared" si="61"/>
        <v>0.4755081491755794</v>
      </c>
      <c r="BA59" s="25">
        <f t="shared" si="62"/>
        <v>0.04781393432338776</v>
      </c>
      <c r="BB59" s="25">
        <f t="shared" si="96"/>
        <v>0.008952248168870774</v>
      </c>
      <c r="BC59" s="25">
        <f t="shared" si="97"/>
        <v>0.08924885737859427</v>
      </c>
      <c r="BD59" s="25">
        <f t="shared" si="98"/>
        <v>0.08902984073531893</v>
      </c>
      <c r="BG59" s="76">
        <f t="shared" si="116"/>
        <v>31321</v>
      </c>
      <c r="BH59" s="30">
        <f t="shared" si="99"/>
        <v>31</v>
      </c>
      <c r="BI59" s="27">
        <f>'PSP-1 Metdata'!D60</f>
        <v>17.299999713897705</v>
      </c>
      <c r="BJ59" s="28">
        <f>'PSP-1 Metdata'!E60</f>
        <v>24.399999618530273</v>
      </c>
      <c r="BK59" s="28">
        <f>'PSP-1 Metdata'!F60</f>
        <v>10.199999809265137</v>
      </c>
      <c r="BL59" s="28">
        <f>'PSP-1 Metdata'!G60</f>
        <v>9.2</v>
      </c>
      <c r="BM59" s="28">
        <f>'PSP-1 Metdata'!I60</f>
        <v>15.205483436584473</v>
      </c>
      <c r="BN59" s="28">
        <f>'PSP-1 Metdata'!J60</f>
        <v>2</v>
      </c>
      <c r="BO59" s="28">
        <f>'PSP-1 Metdata'!K60</f>
        <v>0</v>
      </c>
      <c r="BP59" s="25">
        <f>'PSP-1 Metdata'!L60</f>
        <v>30.55927570165435</v>
      </c>
      <c r="BQ59" s="25">
        <f>'PSP-1 Metdata'!M60</f>
        <v>12.444251026568743</v>
      </c>
      <c r="BR59" s="25">
        <f>'PSP-1 Metdata'!N60</f>
        <v>9.057512337542803</v>
      </c>
      <c r="BT59" s="25">
        <f t="shared" si="48"/>
        <v>39224.4387806368</v>
      </c>
      <c r="BU59" s="25">
        <f t="shared" si="100"/>
        <v>220.12264617212435</v>
      </c>
      <c r="BV59" s="25">
        <f t="shared" si="101"/>
        <v>0.2</v>
      </c>
      <c r="BW59" s="25">
        <f t="shared" si="102"/>
        <v>3326.179386701039</v>
      </c>
      <c r="BX59" s="25">
        <f t="shared" si="103"/>
        <v>0.0006877401274504662</v>
      </c>
      <c r="BY59" s="25">
        <f t="shared" si="104"/>
        <v>294.0075187373806</v>
      </c>
      <c r="BZ59" s="25">
        <f t="shared" si="105"/>
        <v>12.960380144847111</v>
      </c>
      <c r="CA59" s="27">
        <f t="shared" si="106"/>
        <v>0.20665188518916106</v>
      </c>
      <c r="CB59" s="139">
        <f t="shared" si="50"/>
        <v>6.406208440863993</v>
      </c>
      <c r="CD59" s="27">
        <f>IF(CJ58&lt;'DadosReais&amp;Graficos'!MinASW,'DadosReais&amp;Graficos'!MinASW,IF(CJ58&gt;'DadosReais&amp;Graficos'!MaxASW,'DadosReais&amp;Graficos'!MaxASW,CJ58))</f>
        <v>7.289847747128508</v>
      </c>
      <c r="CE59" s="25">
        <f t="shared" si="107"/>
        <v>1.38</v>
      </c>
      <c r="CG59" s="27">
        <f t="shared" si="108"/>
        <v>16.489847747128508</v>
      </c>
      <c r="CH59" s="27">
        <f t="shared" si="51"/>
        <v>7.786208440863993</v>
      </c>
      <c r="CI59" s="27">
        <f>MAX(CG59-CH59-'DadosReais&amp;Graficos'!MaxASW,0)</f>
        <v>0</v>
      </c>
      <c r="CJ59" s="27">
        <f t="shared" si="63"/>
        <v>8.703639306264515</v>
      </c>
      <c r="CK59" s="27">
        <f>poolFractn*Month!CI59</f>
        <v>0</v>
      </c>
      <c r="CQ59" s="25">
        <f>SIN(PI()*'DadosReais&amp;Graficos'!Lat/180)</f>
        <v>0.6293203910498374</v>
      </c>
      <c r="CR59" s="25">
        <f>COS(PI()*'DadosReais&amp;Graficos'!Lat/180)</f>
        <v>0.7771459614569709</v>
      </c>
      <c r="CS59" s="25">
        <f t="shared" si="65"/>
        <v>1985</v>
      </c>
      <c r="CT59" s="29">
        <f t="shared" si="66"/>
        <v>31048</v>
      </c>
      <c r="CU59" s="30">
        <f t="shared" si="52"/>
        <v>10</v>
      </c>
      <c r="CV59" s="27">
        <f t="shared" si="109"/>
        <v>289</v>
      </c>
      <c r="CW59" s="25">
        <f t="shared" si="67"/>
        <v>-0.1751405350728837</v>
      </c>
      <c r="CX59" s="25">
        <f t="shared" si="110"/>
        <v>0.14405256542254885</v>
      </c>
      <c r="CY59" s="25">
        <f t="shared" si="68"/>
        <v>0.4539865599610741</v>
      </c>
      <c r="CZ59" s="25">
        <f t="shared" si="69"/>
        <v>39224.4387806368</v>
      </c>
    </row>
    <row r="60" spans="1:104" ht="12.75">
      <c r="A60" s="149">
        <f t="shared" si="111"/>
        <v>31348</v>
      </c>
      <c r="B60" s="60">
        <f t="shared" si="71"/>
        <v>10.58</v>
      </c>
      <c r="C60" s="78">
        <f t="shared" si="53"/>
        <v>10.583333333333345</v>
      </c>
      <c r="D60" s="171">
        <f t="shared" si="30"/>
        <v>354968.8660317707</v>
      </c>
      <c r="E60" s="30">
        <f t="shared" si="70"/>
        <v>1111</v>
      </c>
      <c r="F60" s="27">
        <f t="shared" si="112"/>
        <v>8.093910193895978</v>
      </c>
      <c r="G60" s="27">
        <f t="shared" si="113"/>
        <v>28.486030485849266</v>
      </c>
      <c r="H60" s="27">
        <f t="shared" si="114"/>
        <v>115.75131918482946</v>
      </c>
      <c r="I60" s="27">
        <f t="shared" si="33"/>
        <v>123.84522937872543</v>
      </c>
      <c r="J60" s="27">
        <f t="shared" si="55"/>
        <v>152.3312598645747</v>
      </c>
      <c r="K60" s="27">
        <f t="shared" si="72"/>
        <v>4.000028203696978</v>
      </c>
      <c r="L60" s="27">
        <f t="shared" si="73"/>
        <v>3.2375869053774387</v>
      </c>
      <c r="M60" s="27">
        <f t="shared" si="115"/>
        <v>5.095457151381768</v>
      </c>
      <c r="O60" s="25">
        <f t="shared" si="74"/>
        <v>0.013</v>
      </c>
      <c r="P60" s="25">
        <f t="shared" si="75"/>
        <v>0.1052208325206477</v>
      </c>
      <c r="Q60" s="25">
        <f t="shared" si="76"/>
        <v>0.2848603048584927</v>
      </c>
      <c r="S60" s="27">
        <f t="shared" si="57"/>
        <v>104.18660592693921</v>
      </c>
      <c r="T60" s="27">
        <f t="shared" si="77"/>
        <v>16.183015655461915</v>
      </c>
      <c r="U60" s="27">
        <f t="shared" si="78"/>
        <v>0.16531795737413524</v>
      </c>
      <c r="V60" s="27">
        <f t="shared" si="79"/>
        <v>0.45</v>
      </c>
      <c r="W60" s="27">
        <f t="shared" si="80"/>
        <v>214.70121674184867</v>
      </c>
      <c r="X60" s="27">
        <f t="shared" si="81"/>
        <v>20.286729140962056</v>
      </c>
      <c r="Y60" s="27">
        <f t="shared" si="82"/>
        <v>22.851928094072242</v>
      </c>
      <c r="AA60" s="24">
        <f t="shared" si="83"/>
        <v>0.8822511414262851</v>
      </c>
      <c r="AB60" s="23">
        <f t="shared" si="84"/>
        <v>0.7930992541556434</v>
      </c>
      <c r="AC60" s="23">
        <f>IF('DadosReais&amp;Graficos'!soilClass&gt;0,0.8-0.1*'DadosReais&amp;Graficos'!soilClass,IF('DadosReais&amp;Graficos'!soilClass&lt;0,SWconst0,999))</f>
        <v>0.6000000000000001</v>
      </c>
      <c r="AD60" s="23">
        <f>IF('DadosReais&amp;Graficos'!soilClass&gt;0,11-2*'DadosReais&amp;Graficos'!soilClass,SWpower0)</f>
        <v>7</v>
      </c>
      <c r="AE60" s="24">
        <f>1/(1+((1-CD60/'DadosReais&amp;Graficos'!MaxASW)/AC60)^AD60)</f>
        <v>0.036815544830557725</v>
      </c>
      <c r="AF60" s="24">
        <f t="shared" si="58"/>
        <v>0.6</v>
      </c>
      <c r="AG60" s="27">
        <f t="shared" si="85"/>
        <v>1</v>
      </c>
      <c r="AH60" s="27">
        <f t="shared" si="86"/>
        <v>0.9</v>
      </c>
      <c r="AI60" s="27">
        <f t="shared" si="87"/>
        <v>0.9975416342767353</v>
      </c>
      <c r="AJ60" s="24">
        <f t="shared" si="39"/>
        <v>0.03672503875706296</v>
      </c>
      <c r="AM60" s="27">
        <f t="shared" si="40"/>
        <v>245.02999305725098</v>
      </c>
      <c r="AN60" s="27">
        <f t="shared" si="88"/>
        <v>1</v>
      </c>
      <c r="AO60" s="27">
        <f t="shared" si="89"/>
        <v>0.8018623826689995</v>
      </c>
      <c r="AP60" s="27">
        <f t="shared" si="59"/>
        <v>196.48033405825566</v>
      </c>
      <c r="AQ60" s="27">
        <f t="shared" si="90"/>
        <v>0.001603835014435996</v>
      </c>
      <c r="AR60" s="27">
        <f t="shared" si="91"/>
        <v>0.08853169279686697</v>
      </c>
      <c r="AS60" s="27">
        <f t="shared" si="43"/>
        <v>1</v>
      </c>
      <c r="AT60" s="25">
        <f t="shared" si="44"/>
        <v>0.1739473657547129</v>
      </c>
      <c r="AU60" s="25">
        <f t="shared" si="92"/>
        <v>0.08175526190471506</v>
      </c>
      <c r="AW60" s="25">
        <f t="shared" si="93"/>
        <v>0.6</v>
      </c>
      <c r="AX60" s="25">
        <f t="shared" si="94"/>
        <v>0.10053839566669842</v>
      </c>
      <c r="AY60" s="25">
        <f t="shared" si="95"/>
        <v>0.47554959192776625</v>
      </c>
      <c r="AZ60" s="25">
        <f t="shared" si="61"/>
        <v>0.4765398555263721</v>
      </c>
      <c r="BA60" s="25">
        <f t="shared" si="62"/>
        <v>0.04791055254586163</v>
      </c>
      <c r="BB60" s="25">
        <f t="shared" si="96"/>
        <v>0.0039169397713865305</v>
      </c>
      <c r="BC60" s="25">
        <f t="shared" si="97"/>
        <v>0.0388786814367349</v>
      </c>
      <c r="BD60" s="25">
        <f t="shared" si="98"/>
        <v>0.038959640696593634</v>
      </c>
      <c r="BG60" s="76">
        <f t="shared" si="116"/>
        <v>31352</v>
      </c>
      <c r="BH60" s="30">
        <f t="shared" si="99"/>
        <v>30</v>
      </c>
      <c r="BI60" s="27">
        <f>'PSP-1 Metdata'!D61</f>
        <v>12.200000286102295</v>
      </c>
      <c r="BJ60" s="28">
        <f>'PSP-1 Metdata'!E61</f>
        <v>17.100000381469727</v>
      </c>
      <c r="BK60" s="28">
        <f>'PSP-1 Metdata'!F61</f>
        <v>7.300000190734863</v>
      </c>
      <c r="BL60" s="28">
        <f>'PSP-1 Metdata'!G61</f>
        <v>110</v>
      </c>
      <c r="BM60" s="28">
        <f>'PSP-1 Metdata'!I61</f>
        <v>8.1676664352417</v>
      </c>
      <c r="BN60" s="28">
        <f>'PSP-1 Metdata'!J61</f>
        <v>11</v>
      </c>
      <c r="BO60" s="28">
        <f>'PSP-1 Metdata'!K61</f>
        <v>3</v>
      </c>
      <c r="BP60" s="25">
        <f>'PSP-1 Metdata'!L61</f>
        <v>19.498483907266383</v>
      </c>
      <c r="BQ60" s="25">
        <f>'PSP-1 Metdata'!M61</f>
        <v>10.226207814872636</v>
      </c>
      <c r="BR60" s="25">
        <f>'PSP-1 Metdata'!N61</f>
        <v>4.636138046196874</v>
      </c>
      <c r="BT60" s="25">
        <f t="shared" si="48"/>
        <v>35312.835538885876</v>
      </c>
      <c r="BU60" s="25">
        <f t="shared" si="100"/>
        <v>95.03564068079686</v>
      </c>
      <c r="BV60" s="25">
        <f t="shared" si="101"/>
        <v>0.2</v>
      </c>
      <c r="BW60" s="25">
        <f t="shared" si="102"/>
        <v>1702.5234113392228</v>
      </c>
      <c r="BX60" s="25">
        <f t="shared" si="103"/>
        <v>0.0007141171446206965</v>
      </c>
      <c r="BY60" s="25">
        <f t="shared" si="104"/>
        <v>283.2660949069218</v>
      </c>
      <c r="BZ60" s="25">
        <f t="shared" si="105"/>
        <v>6.748431440286236</v>
      </c>
      <c r="CA60" s="27">
        <f t="shared" si="106"/>
        <v>0.09687245918547747</v>
      </c>
      <c r="CB60" s="139">
        <f t="shared" si="50"/>
        <v>2.906173775564324</v>
      </c>
      <c r="CD60" s="27">
        <f>IF(CJ59&lt;'DadosReais&amp;Graficos'!MinASW,'DadosReais&amp;Graficos'!MinASW,IF(CJ59&gt;'DadosReais&amp;Graficos'!MaxASW,'DadosReais&amp;Graficos'!MaxASW,CJ59))</f>
        <v>8.703639306264515</v>
      </c>
      <c r="CE60" s="25">
        <f t="shared" si="107"/>
        <v>16.5</v>
      </c>
      <c r="CG60" s="27">
        <f t="shared" si="108"/>
        <v>118.70363930626452</v>
      </c>
      <c r="CH60" s="27">
        <f t="shared" si="51"/>
        <v>19.406173775564323</v>
      </c>
      <c r="CI60" s="27">
        <f>MAX(CG60-CH60-'DadosReais&amp;Graficos'!MaxASW,0)</f>
        <v>0</v>
      </c>
      <c r="CJ60" s="27">
        <f t="shared" si="63"/>
        <v>99.2974655307002</v>
      </c>
      <c r="CK60" s="27">
        <f>poolFractn*Month!CI60</f>
        <v>0</v>
      </c>
      <c r="CQ60" s="25">
        <f>SIN(PI()*'DadosReais&amp;Graficos'!Lat/180)</f>
        <v>0.6293203910498374</v>
      </c>
      <c r="CR60" s="25">
        <f>COS(PI()*'DadosReais&amp;Graficos'!Lat/180)</f>
        <v>0.7771459614569709</v>
      </c>
      <c r="CS60" s="25">
        <f t="shared" si="65"/>
        <v>1985</v>
      </c>
      <c r="CT60" s="29">
        <f t="shared" si="66"/>
        <v>31048</v>
      </c>
      <c r="CU60" s="30">
        <f t="shared" si="52"/>
        <v>11</v>
      </c>
      <c r="CV60" s="27">
        <f t="shared" si="109"/>
        <v>319</v>
      </c>
      <c r="CW60" s="25">
        <f t="shared" si="67"/>
        <v>-0.3297749470179898</v>
      </c>
      <c r="CX60" s="25">
        <f t="shared" si="110"/>
        <v>0.2828703751751745</v>
      </c>
      <c r="CY60" s="25">
        <f t="shared" si="68"/>
        <v>0.40871337429266064</v>
      </c>
      <c r="CZ60" s="25">
        <f t="shared" si="69"/>
        <v>35312.835538885876</v>
      </c>
    </row>
    <row r="61" spans="1:104" ht="12.75">
      <c r="A61" s="149">
        <f t="shared" si="111"/>
        <v>31379</v>
      </c>
      <c r="B61" s="60">
        <f t="shared" si="71"/>
        <v>10.67</v>
      </c>
      <c r="C61" s="78">
        <f t="shared" si="53"/>
        <v>10.666666666666679</v>
      </c>
      <c r="D61" s="171">
        <f t="shared" si="30"/>
        <v>356085.38192103844</v>
      </c>
      <c r="E61" s="30">
        <f t="shared" si="70"/>
        <v>1111</v>
      </c>
      <c r="F61" s="27">
        <f t="shared" si="112"/>
        <v>7.992606301146716</v>
      </c>
      <c r="G61" s="27">
        <f t="shared" si="113"/>
        <v>28.240048862427507</v>
      </c>
      <c r="H61" s="27">
        <f t="shared" si="114"/>
        <v>115.79027882552604</v>
      </c>
      <c r="I61" s="27">
        <f t="shared" si="33"/>
        <v>123.78288512667277</v>
      </c>
      <c r="J61" s="27">
        <f t="shared" si="55"/>
        <v>152.02293398910027</v>
      </c>
      <c r="K61" s="27">
        <f t="shared" si="72"/>
        <v>4.000023174704642</v>
      </c>
      <c r="L61" s="27">
        <f t="shared" si="73"/>
        <v>3.1970610430877215</v>
      </c>
      <c r="M61" s="27">
        <f t="shared" si="115"/>
        <v>5.200677983902416</v>
      </c>
      <c r="O61" s="25">
        <f t="shared" si="74"/>
        <v>0.013</v>
      </c>
      <c r="P61" s="25">
        <f t="shared" si="75"/>
        <v>0.1039038819149073</v>
      </c>
      <c r="Q61" s="25">
        <f t="shared" si="76"/>
        <v>0.2824004886242751</v>
      </c>
      <c r="S61" s="27">
        <f t="shared" si="57"/>
        <v>104.22167311028446</v>
      </c>
      <c r="T61" s="27">
        <f t="shared" si="77"/>
        <v>16.185028186023644</v>
      </c>
      <c r="U61" s="27">
        <f t="shared" si="78"/>
        <v>0.1648818848622018</v>
      </c>
      <c r="V61" s="27">
        <f t="shared" si="79"/>
        <v>0.45</v>
      </c>
      <c r="W61" s="27">
        <f t="shared" si="80"/>
        <v>214.88568756456314</v>
      </c>
      <c r="X61" s="27">
        <f t="shared" si="81"/>
        <v>20.14553320917777</v>
      </c>
      <c r="Y61" s="27">
        <f t="shared" si="82"/>
        <v>22.857612209363115</v>
      </c>
      <c r="AA61" s="24">
        <f t="shared" si="83"/>
        <v>0.7685163033294307</v>
      </c>
      <c r="AB61" s="23">
        <f t="shared" si="84"/>
        <v>0.8003710181618955</v>
      </c>
      <c r="AC61" s="23">
        <f>IF('DadosReais&amp;Graficos'!soilClass&gt;0,0.8-0.1*'DadosReais&amp;Graficos'!soilClass,IF('DadosReais&amp;Graficos'!soilClass&lt;0,SWconst0,999))</f>
        <v>0.6000000000000001</v>
      </c>
      <c r="AD61" s="23">
        <f>IF('DadosReais&amp;Graficos'!soilClass&gt;0,11-2*'DadosReais&amp;Graficos'!soilClass,SWpower0)</f>
        <v>7</v>
      </c>
      <c r="AE61" s="24">
        <f>1/(1+((1-CD61/'DadosReais&amp;Graficos'!MaxASW)/AC61)^AD61)</f>
        <v>0.7733360954423655</v>
      </c>
      <c r="AF61" s="24">
        <f t="shared" si="58"/>
        <v>0.6</v>
      </c>
      <c r="AG61" s="27">
        <f t="shared" si="85"/>
        <v>1</v>
      </c>
      <c r="AH61" s="27">
        <f t="shared" si="86"/>
        <v>0.8333333333333334</v>
      </c>
      <c r="AI61" s="27">
        <f t="shared" si="87"/>
        <v>0.9974634848424414</v>
      </c>
      <c r="AJ61" s="24">
        <f t="shared" si="39"/>
        <v>0.7713745167143887</v>
      </c>
      <c r="AM61" s="27">
        <f t="shared" si="40"/>
        <v>214.84999465942383</v>
      </c>
      <c r="AN61" s="27">
        <f t="shared" si="88"/>
        <v>1</v>
      </c>
      <c r="AO61" s="27">
        <f t="shared" si="89"/>
        <v>0.7978065813306359</v>
      </c>
      <c r="AP61" s="27">
        <f t="shared" si="59"/>
        <v>171.4087397381403</v>
      </c>
      <c r="AQ61" s="27">
        <f t="shared" si="90"/>
        <v>0.02717063671977729</v>
      </c>
      <c r="AR61" s="27">
        <f t="shared" si="91"/>
        <v>1.4998191469317064</v>
      </c>
      <c r="AS61" s="27">
        <f t="shared" si="43"/>
        <v>1</v>
      </c>
      <c r="AT61" s="25">
        <f t="shared" si="44"/>
        <v>2.570821098106965</v>
      </c>
      <c r="AU61" s="25">
        <f t="shared" si="92"/>
        <v>1.2082859161102735</v>
      </c>
      <c r="AW61" s="25">
        <f t="shared" si="93"/>
        <v>0.6</v>
      </c>
      <c r="AX61" s="25">
        <f t="shared" si="94"/>
        <v>0.100531858721462</v>
      </c>
      <c r="AY61" s="25">
        <f t="shared" si="95"/>
        <v>0.24039336161165129</v>
      </c>
      <c r="AZ61" s="25">
        <f t="shared" si="61"/>
        <v>0.6902177636827509</v>
      </c>
      <c r="BA61" s="25">
        <f t="shared" si="62"/>
        <v>0.06938887470559785</v>
      </c>
      <c r="BB61" s="25">
        <f t="shared" si="96"/>
        <v>0.08384160004151428</v>
      </c>
      <c r="BC61" s="25">
        <f t="shared" si="97"/>
        <v>0.29046391316176234</v>
      </c>
      <c r="BD61" s="25">
        <f t="shared" si="98"/>
        <v>0.8339804029069969</v>
      </c>
      <c r="BG61" s="76">
        <f t="shared" si="116"/>
        <v>31382</v>
      </c>
      <c r="BH61" s="30">
        <f t="shared" si="99"/>
        <v>31</v>
      </c>
      <c r="BI61" s="27">
        <f>'PSP-1 Metdata'!D62</f>
        <v>10.799999713897705</v>
      </c>
      <c r="BJ61" s="28">
        <f>'PSP-1 Metdata'!E62</f>
        <v>15.899999618530273</v>
      </c>
      <c r="BK61" s="28">
        <f>'PSP-1 Metdata'!F62</f>
        <v>5.699999809265137</v>
      </c>
      <c r="BL61" s="28">
        <f>'PSP-1 Metdata'!G62</f>
        <v>97.92000122070313</v>
      </c>
      <c r="BM61" s="28">
        <f>'PSP-1 Metdata'!I62</f>
        <v>6.930644989013672</v>
      </c>
      <c r="BN61" s="28">
        <f>'PSP-1 Metdata'!J62</f>
        <v>13</v>
      </c>
      <c r="BO61" s="28">
        <f>'PSP-1 Metdata'!K62</f>
        <v>5</v>
      </c>
      <c r="BP61" s="25">
        <f>'PSP-1 Metdata'!L62</f>
        <v>18.06532479379342</v>
      </c>
      <c r="BQ61" s="25">
        <f>'PSP-1 Metdata'!M62</f>
        <v>9.158129348946959</v>
      </c>
      <c r="BR61" s="25">
        <f>'PSP-1 Metdata'!N62</f>
        <v>4.45359772242323</v>
      </c>
      <c r="BT61" s="25">
        <f t="shared" si="48"/>
        <v>33294.53956575766</v>
      </c>
      <c r="BU61" s="25">
        <f t="shared" si="100"/>
        <v>76.52928869192985</v>
      </c>
      <c r="BV61" s="25">
        <f t="shared" si="101"/>
        <v>0.2</v>
      </c>
      <c r="BW61" s="25">
        <f t="shared" si="102"/>
        <v>1635.489347288216</v>
      </c>
      <c r="BX61" s="25">
        <f t="shared" si="103"/>
        <v>0.014811600102211355</v>
      </c>
      <c r="BY61" s="25">
        <f t="shared" si="104"/>
        <v>16.702930042658945</v>
      </c>
      <c r="BZ61" s="25">
        <f t="shared" si="105"/>
        <v>107.99624843087145</v>
      </c>
      <c r="CA61" s="27">
        <f t="shared" si="106"/>
        <v>1.461660718022375</v>
      </c>
      <c r="CB61" s="139">
        <f t="shared" si="50"/>
        <v>45.31148225869363</v>
      </c>
      <c r="CD61" s="27">
        <f>IF(CJ60&lt;'DadosReais&amp;Graficos'!MinASW,'DadosReais&amp;Graficos'!MinASW,IF(CJ60&gt;'DadosReais&amp;Graficos'!MaxASW,'DadosReais&amp;Graficos'!MaxASW,CJ60))</f>
        <v>99.2974655307002</v>
      </c>
      <c r="CE61" s="25">
        <f t="shared" si="107"/>
        <v>14.68800018310547</v>
      </c>
      <c r="CG61" s="27">
        <f t="shared" si="108"/>
        <v>197.21746675140332</v>
      </c>
      <c r="CH61" s="27">
        <f t="shared" si="51"/>
        <v>59.9994824417991</v>
      </c>
      <c r="CI61" s="27">
        <f>MAX(CG61-CH61-'DadosReais&amp;Graficos'!MaxASW,0)</f>
        <v>0</v>
      </c>
      <c r="CJ61" s="27">
        <f t="shared" si="63"/>
        <v>137.21798430960422</v>
      </c>
      <c r="CK61" s="27">
        <f>poolFractn*Month!CI61</f>
        <v>0</v>
      </c>
      <c r="CQ61" s="25">
        <f>SIN(PI()*'DadosReais&amp;Graficos'!Lat/180)</f>
        <v>0.6293203910498374</v>
      </c>
      <c r="CR61" s="25">
        <f>COS(PI()*'DadosReais&amp;Graficos'!Lat/180)</f>
        <v>0.7771459614569709</v>
      </c>
      <c r="CS61" s="25">
        <f t="shared" si="65"/>
        <v>1985</v>
      </c>
      <c r="CT61" s="29">
        <f t="shared" si="66"/>
        <v>31048</v>
      </c>
      <c r="CU61" s="30">
        <f t="shared" si="52"/>
        <v>12</v>
      </c>
      <c r="CV61" s="27">
        <f t="shared" si="109"/>
        <v>350</v>
      </c>
      <c r="CW61" s="25">
        <f t="shared" si="67"/>
        <v>-0.39906495399591085</v>
      </c>
      <c r="CX61" s="25">
        <f t="shared" si="110"/>
        <v>0.352435862283474</v>
      </c>
      <c r="CY61" s="25">
        <f t="shared" si="68"/>
        <v>0.3853534671962692</v>
      </c>
      <c r="CZ61" s="25">
        <f t="shared" si="69"/>
        <v>33294.53956575766</v>
      </c>
    </row>
    <row r="62" spans="1:104" ht="12.75">
      <c r="A62" s="149">
        <f t="shared" si="111"/>
        <v>31409</v>
      </c>
      <c r="B62" s="60">
        <f t="shared" si="71"/>
        <v>10.75</v>
      </c>
      <c r="C62" s="78">
        <f t="shared" si="53"/>
        <v>10.750000000000012</v>
      </c>
      <c r="D62" s="171">
        <f t="shared" si="30"/>
        <v>353121.5495732234</v>
      </c>
      <c r="E62" s="30">
        <f t="shared" si="70"/>
        <v>1111</v>
      </c>
      <c r="F62" s="27">
        <f t="shared" si="112"/>
        <v>7.972544019273323</v>
      </c>
      <c r="G62" s="27">
        <f t="shared" si="113"/>
        <v>28.248112286964993</v>
      </c>
      <c r="H62" s="27">
        <f t="shared" si="114"/>
        <v>116.62425922843305</v>
      </c>
      <c r="I62" s="27">
        <f t="shared" si="33"/>
        <v>124.59680324770638</v>
      </c>
      <c r="J62" s="27">
        <f t="shared" si="55"/>
        <v>152.84491553467137</v>
      </c>
      <c r="K62" s="27">
        <f t="shared" si="72"/>
        <v>4.0000190131213555</v>
      </c>
      <c r="L62" s="27">
        <f t="shared" si="73"/>
        <v>3.1890327660040243</v>
      </c>
      <c r="M62" s="27">
        <f t="shared" si="115"/>
        <v>5.304581865817323</v>
      </c>
      <c r="O62" s="25">
        <f t="shared" si="74"/>
        <v>0.013</v>
      </c>
      <c r="P62" s="25">
        <f t="shared" si="75"/>
        <v>0.10364307225055319</v>
      </c>
      <c r="Q62" s="25">
        <f t="shared" si="76"/>
        <v>0.28248112286964994</v>
      </c>
      <c r="S62" s="27">
        <f t="shared" si="57"/>
        <v>104.9723305386436</v>
      </c>
      <c r="T62" s="27">
        <f t="shared" si="77"/>
        <v>16.228006955273674</v>
      </c>
      <c r="U62" s="27">
        <f t="shared" si="78"/>
        <v>0.16445822648819938</v>
      </c>
      <c r="V62" s="27">
        <f t="shared" si="79"/>
        <v>0.45</v>
      </c>
      <c r="W62" s="27">
        <f t="shared" si="80"/>
        <v>216.5432008671665</v>
      </c>
      <c r="X62" s="27">
        <f t="shared" si="81"/>
        <v>20.14355356903872</v>
      </c>
      <c r="Y62" s="27">
        <f t="shared" si="82"/>
        <v>22.979168549344244</v>
      </c>
      <c r="AA62" s="24">
        <f t="shared" si="83"/>
        <v>0.6348807127108299</v>
      </c>
      <c r="AB62" s="23">
        <f t="shared" si="84"/>
        <v>0.8262041987724728</v>
      </c>
      <c r="AC62" s="23">
        <f>IF('DadosReais&amp;Graficos'!soilClass&gt;0,0.8-0.1*'DadosReais&amp;Graficos'!soilClass,IF('DadosReais&amp;Graficos'!soilClass&lt;0,SWconst0,999))</f>
        <v>0.6000000000000001</v>
      </c>
      <c r="AD62" s="23">
        <f>IF('DadosReais&amp;Graficos'!soilClass&gt;0,11-2*'DadosReais&amp;Graficos'!soilClass,SWpower0)</f>
        <v>7</v>
      </c>
      <c r="AE62" s="24">
        <f>1/(1+((1-CD62/'DadosReais&amp;Graficos'!MaxASW)/AC62)^AD62)</f>
        <v>0.9893844344342623</v>
      </c>
      <c r="AF62" s="24">
        <f t="shared" si="58"/>
        <v>0.6</v>
      </c>
      <c r="AG62" s="27">
        <f t="shared" si="85"/>
        <v>1</v>
      </c>
      <c r="AH62" s="27">
        <f t="shared" si="86"/>
        <v>0.8666666666666667</v>
      </c>
      <c r="AI62" s="27">
        <f t="shared" si="87"/>
        <v>0.9973834948400162</v>
      </c>
      <c r="AJ62" s="24">
        <f t="shared" si="39"/>
        <v>0.8240424312231843</v>
      </c>
      <c r="AM62" s="27">
        <f t="shared" si="40"/>
        <v>255.08998584747314</v>
      </c>
      <c r="AN62" s="27">
        <f t="shared" si="88"/>
        <v>1</v>
      </c>
      <c r="AO62" s="27">
        <f t="shared" si="89"/>
        <v>0.7969933177515385</v>
      </c>
      <c r="AP62" s="27">
        <f t="shared" si="59"/>
        <v>203.30501414577063</v>
      </c>
      <c r="AQ62" s="27">
        <f t="shared" si="90"/>
        <v>0.024937705461189487</v>
      </c>
      <c r="AR62" s="27">
        <f t="shared" si="91"/>
        <v>1.3765613414576596</v>
      </c>
      <c r="AS62" s="27">
        <f t="shared" si="43"/>
        <v>1</v>
      </c>
      <c r="AT62" s="25">
        <f t="shared" si="44"/>
        <v>2.7986182299757045</v>
      </c>
      <c r="AU62" s="25">
        <f t="shared" si="92"/>
        <v>1.315350568088581</v>
      </c>
      <c r="AW62" s="25">
        <f t="shared" si="93"/>
        <v>0.6</v>
      </c>
      <c r="AX62" s="25">
        <f t="shared" si="94"/>
        <v>0.10039255325654453</v>
      </c>
      <c r="AY62" s="25">
        <f t="shared" si="95"/>
        <v>0.2321629869319655</v>
      </c>
      <c r="AZ62" s="25">
        <f t="shared" si="61"/>
        <v>0.6977846322166282</v>
      </c>
      <c r="BA62" s="25">
        <f t="shared" si="62"/>
        <v>0.0700523808514063</v>
      </c>
      <c r="BB62" s="25">
        <f t="shared" si="96"/>
        <v>0.09214343894885492</v>
      </c>
      <c r="BC62" s="25">
        <f t="shared" si="97"/>
        <v>0.3053757167501026</v>
      </c>
      <c r="BD62" s="25">
        <f t="shared" si="98"/>
        <v>0.9178314123896235</v>
      </c>
      <c r="BG62" s="76">
        <f t="shared" si="116"/>
        <v>31413</v>
      </c>
      <c r="BH62" s="30">
        <f t="shared" si="99"/>
        <v>31</v>
      </c>
      <c r="BI62" s="27">
        <f>'PSP-1 Metdata'!D63</f>
        <v>9.600000143051147</v>
      </c>
      <c r="BJ62" s="28">
        <f>'PSP-1 Metdata'!E63</f>
        <v>14.300000190734863</v>
      </c>
      <c r="BK62" s="28">
        <f>'PSP-1 Metdata'!F63</f>
        <v>4.900000095367432</v>
      </c>
      <c r="BL62" s="28">
        <f>'PSP-1 Metdata'!G63</f>
        <v>100.07999877929689</v>
      </c>
      <c r="BM62" s="28">
        <f>'PSP-1 Metdata'!I63</f>
        <v>8.22870922088623</v>
      </c>
      <c r="BN62" s="28">
        <f>'PSP-1 Metdata'!J63</f>
        <v>11</v>
      </c>
      <c r="BO62" s="28">
        <f>'PSP-1 Metdata'!K63</f>
        <v>4</v>
      </c>
      <c r="BP62" s="25">
        <f>'PSP-1 Metdata'!L63</f>
        <v>16.298479514731145</v>
      </c>
      <c r="BQ62" s="25">
        <f>'PSP-1 Metdata'!M63</f>
        <v>8.66194663460116</v>
      </c>
      <c r="BR62" s="25">
        <f>'PSP-1 Metdata'!N63</f>
        <v>3.818266440064993</v>
      </c>
      <c r="BT62" s="25">
        <f t="shared" si="48"/>
        <v>34557.10261977032</v>
      </c>
      <c r="BU62" s="25">
        <f t="shared" si="100"/>
        <v>100.49535052579412</v>
      </c>
      <c r="BV62" s="25">
        <f t="shared" si="101"/>
        <v>0.2</v>
      </c>
      <c r="BW62" s="25">
        <f t="shared" si="102"/>
        <v>1402.1774028653394</v>
      </c>
      <c r="BX62" s="25">
        <f t="shared" si="103"/>
        <v>0.015783173055545663</v>
      </c>
      <c r="BY62" s="25">
        <f t="shared" si="104"/>
        <v>15.871723188749229</v>
      </c>
      <c r="BZ62" s="25">
        <f t="shared" si="105"/>
        <v>102.27416107992292</v>
      </c>
      <c r="CA62" s="27">
        <f t="shared" si="106"/>
        <v>1.436706780402364</v>
      </c>
      <c r="CB62" s="139">
        <f t="shared" si="50"/>
        <v>44.53791019247329</v>
      </c>
      <c r="CD62" s="27">
        <f>IF(CJ61&lt;'DadosReais&amp;Graficos'!MinASW,'DadosReais&amp;Graficos'!MinASW,IF(CJ61&gt;'DadosReais&amp;Graficos'!MaxASW,'DadosReais&amp;Graficos'!MaxASW,CJ61))</f>
        <v>137.21798430960422</v>
      </c>
      <c r="CE62" s="25">
        <f t="shared" si="107"/>
        <v>15.011999816894532</v>
      </c>
      <c r="CG62" s="27">
        <f t="shared" si="108"/>
        <v>237.2979830889011</v>
      </c>
      <c r="CH62" s="27">
        <f t="shared" si="51"/>
        <v>59.54991000936782</v>
      </c>
      <c r="CI62" s="27">
        <f>MAX(CG62-CH62-'DadosReais&amp;Graficos'!MaxASW,0)</f>
        <v>0</v>
      </c>
      <c r="CJ62" s="27">
        <f t="shared" si="63"/>
        <v>177.7480730795333</v>
      </c>
      <c r="CK62" s="27">
        <f>poolFractn*Month!CI62</f>
        <v>0</v>
      </c>
      <c r="CQ62" s="25">
        <f>SIN(PI()*'DadosReais&amp;Graficos'!Lat/180)</f>
        <v>0.6293203910498374</v>
      </c>
      <c r="CR62" s="25">
        <f>COS(PI()*'DadosReais&amp;Graficos'!Lat/180)</f>
        <v>0.7771459614569709</v>
      </c>
      <c r="CS62" s="25">
        <f t="shared" si="65"/>
        <v>1985</v>
      </c>
      <c r="CT62" s="29">
        <f t="shared" si="66"/>
        <v>31048</v>
      </c>
      <c r="CU62" s="30">
        <f t="shared" si="52"/>
        <v>1</v>
      </c>
      <c r="CV62" s="27">
        <f t="shared" si="109"/>
        <v>16</v>
      </c>
      <c r="CW62" s="25">
        <f t="shared" si="67"/>
        <v>-0.3566279806934116</v>
      </c>
      <c r="CX62" s="25">
        <f t="shared" si="110"/>
        <v>0.30911718809788097</v>
      </c>
      <c r="CY62" s="25">
        <f t="shared" si="68"/>
        <v>0.39996646550660087</v>
      </c>
      <c r="CZ62" s="25">
        <f t="shared" si="69"/>
        <v>34557.10261977032</v>
      </c>
    </row>
    <row r="63" spans="1:104" ht="12.75">
      <c r="A63" s="149">
        <f t="shared" si="111"/>
        <v>31440</v>
      </c>
      <c r="B63" s="60">
        <f t="shared" si="71"/>
        <v>10.83</v>
      </c>
      <c r="C63" s="78">
        <f t="shared" si="53"/>
        <v>10.833333333333346</v>
      </c>
      <c r="D63" s="171">
        <f t="shared" si="30"/>
        <v>349819.5943451001</v>
      </c>
      <c r="E63" s="30">
        <f t="shared" si="70"/>
        <v>1111</v>
      </c>
      <c r="F63" s="27">
        <f t="shared" si="112"/>
        <v>7.961044385971625</v>
      </c>
      <c r="G63" s="27">
        <f t="shared" si="113"/>
        <v>28.271006880845444</v>
      </c>
      <c r="H63" s="27">
        <f t="shared" si="114"/>
        <v>117.54209064082266</v>
      </c>
      <c r="I63" s="27">
        <f t="shared" si="33"/>
        <v>125.50313502679428</v>
      </c>
      <c r="J63" s="27">
        <f t="shared" si="55"/>
        <v>153.77414190763972</v>
      </c>
      <c r="K63" s="27">
        <f t="shared" si="72"/>
        <v>4.0000155748429815</v>
      </c>
      <c r="L63" s="27">
        <f t="shared" si="73"/>
        <v>3.184430153590278</v>
      </c>
      <c r="M63" s="27">
        <f t="shared" si="115"/>
        <v>5.408224938067876</v>
      </c>
      <c r="O63" s="25">
        <f t="shared" si="74"/>
        <v>0.013</v>
      </c>
      <c r="P63" s="25">
        <f t="shared" si="75"/>
        <v>0.10349357701763112</v>
      </c>
      <c r="Q63" s="25">
        <f t="shared" si="76"/>
        <v>0.28271006880845445</v>
      </c>
      <c r="S63" s="27">
        <f t="shared" si="57"/>
        <v>105.79846142288268</v>
      </c>
      <c r="T63" s="27">
        <f t="shared" si="77"/>
        <v>16.275083558458437</v>
      </c>
      <c r="U63" s="27">
        <f t="shared" si="78"/>
        <v>0.16404662884571883</v>
      </c>
      <c r="V63" s="27">
        <f t="shared" si="79"/>
        <v>0.45</v>
      </c>
      <c r="W63" s="27">
        <f t="shared" si="80"/>
        <v>218.3549042749284</v>
      </c>
      <c r="X63" s="27">
        <f t="shared" si="81"/>
        <v>20.155837317685673</v>
      </c>
      <c r="Y63" s="27">
        <f t="shared" si="82"/>
        <v>23.112684673383935</v>
      </c>
      <c r="AA63" s="24">
        <f t="shared" si="83"/>
        <v>0.733146867830451</v>
      </c>
      <c r="AB63" s="23">
        <f t="shared" si="84"/>
        <v>0.8525743481093472</v>
      </c>
      <c r="AC63" s="23">
        <f>IF('DadosReais&amp;Graficos'!soilClass&gt;0,0.8-0.1*'DadosReais&amp;Graficos'!soilClass,IF('DadosReais&amp;Graficos'!soilClass&lt;0,SWconst0,999))</f>
        <v>0.6000000000000001</v>
      </c>
      <c r="AD63" s="23">
        <f>IF('DadosReais&amp;Graficos'!soilClass&gt;0,11-2*'DadosReais&amp;Graficos'!soilClass,SWpower0)</f>
        <v>7</v>
      </c>
      <c r="AE63" s="24">
        <f>1/(1+((1-CD63/'DadosReais&amp;Graficos'!MaxASW)/AC63)^AD63)</f>
        <v>0.9999924612146426</v>
      </c>
      <c r="AF63" s="24">
        <f t="shared" si="58"/>
        <v>0.6</v>
      </c>
      <c r="AG63" s="27">
        <f t="shared" si="85"/>
        <v>1</v>
      </c>
      <c r="AH63" s="27">
        <f t="shared" si="86"/>
        <v>0.9333333333333333</v>
      </c>
      <c r="AI63" s="27">
        <f t="shared" si="87"/>
        <v>0.9973016360998216</v>
      </c>
      <c r="AJ63" s="24">
        <f t="shared" si="39"/>
        <v>0.8502737922661908</v>
      </c>
      <c r="AM63" s="27">
        <f t="shared" si="40"/>
        <v>241.80000686645508</v>
      </c>
      <c r="AN63" s="27">
        <f t="shared" si="88"/>
        <v>1</v>
      </c>
      <c r="AO63" s="27">
        <f t="shared" si="89"/>
        <v>0.7965255992383048</v>
      </c>
      <c r="AP63" s="27">
        <f t="shared" si="59"/>
        <v>192.59989536512936</v>
      </c>
      <c r="AQ63" s="27">
        <f t="shared" si="90"/>
        <v>0.031999945803378234</v>
      </c>
      <c r="AR63" s="27">
        <f t="shared" si="91"/>
        <v>1.7663970083464784</v>
      </c>
      <c r="AS63" s="27">
        <f t="shared" si="43"/>
        <v>1</v>
      </c>
      <c r="AT63" s="25">
        <f t="shared" si="44"/>
        <v>3.4020787898080926</v>
      </c>
      <c r="AU63" s="25">
        <f t="shared" si="92"/>
        <v>1.5989770312098035</v>
      </c>
      <c r="AW63" s="25">
        <f t="shared" si="93"/>
        <v>0.6</v>
      </c>
      <c r="AX63" s="25">
        <f t="shared" si="94"/>
        <v>0.10024060896493313</v>
      </c>
      <c r="AY63" s="25">
        <f t="shared" si="95"/>
        <v>0.22827054876931827</v>
      </c>
      <c r="AZ63" s="25">
        <f t="shared" si="61"/>
        <v>0.7014188032531331</v>
      </c>
      <c r="BA63" s="25">
        <f t="shared" si="62"/>
        <v>0.0703106479775486</v>
      </c>
      <c r="BB63" s="25">
        <f t="shared" si="96"/>
        <v>0.11242511116557824</v>
      </c>
      <c r="BC63" s="25">
        <f t="shared" si="97"/>
        <v>0.3649993643837972</v>
      </c>
      <c r="BD63" s="25">
        <f t="shared" si="98"/>
        <v>1.121552555660428</v>
      </c>
      <c r="BG63" s="76">
        <f t="shared" si="116"/>
        <v>31444</v>
      </c>
      <c r="BH63" s="30">
        <f t="shared" si="99"/>
        <v>28</v>
      </c>
      <c r="BI63" s="27">
        <f>'PSP-1 Metdata'!D64</f>
        <v>10.449999809265137</v>
      </c>
      <c r="BJ63" s="28">
        <f>'PSP-1 Metdata'!E64</f>
        <v>14.199999809265137</v>
      </c>
      <c r="BK63" s="28">
        <f>'PSP-1 Metdata'!F64</f>
        <v>6.699999809265137</v>
      </c>
      <c r="BL63" s="28">
        <f>'PSP-1 Metdata'!G64</f>
        <v>163.04000244140627</v>
      </c>
      <c r="BM63" s="28">
        <f>'PSP-1 Metdata'!I64</f>
        <v>8.635714530944824</v>
      </c>
      <c r="BN63" s="28">
        <f>'PSP-1 Metdata'!J64</f>
        <v>22</v>
      </c>
      <c r="BO63" s="28">
        <f>'PSP-1 Metdata'!K64</f>
        <v>2</v>
      </c>
      <c r="BP63" s="25">
        <f>'PSP-1 Metdata'!L64</f>
        <v>16.19326890763327</v>
      </c>
      <c r="BQ63" s="25">
        <f>'PSP-1 Metdata'!M64</f>
        <v>9.813474436884212</v>
      </c>
      <c r="BR63" s="25">
        <f>'PSP-1 Metdata'!N64</f>
        <v>3.18989723537453</v>
      </c>
      <c r="BT63" s="25">
        <f t="shared" si="48"/>
        <v>37850.90307676919</v>
      </c>
      <c r="BU63" s="25">
        <f t="shared" si="100"/>
        <v>92.5206550750955</v>
      </c>
      <c r="BV63" s="25">
        <f t="shared" si="101"/>
        <v>0.2</v>
      </c>
      <c r="BW63" s="25">
        <f t="shared" si="102"/>
        <v>1171.4221338699065</v>
      </c>
      <c r="BX63" s="25">
        <f t="shared" si="103"/>
        <v>0.01626208710450459</v>
      </c>
      <c r="BY63" s="25">
        <f t="shared" si="104"/>
        <v>15.498544382079967</v>
      </c>
      <c r="BZ63" s="25">
        <f t="shared" si="105"/>
        <v>88.7159168718392</v>
      </c>
      <c r="CA63" s="27">
        <f t="shared" si="106"/>
        <v>1.3650315328791454</v>
      </c>
      <c r="CB63" s="139">
        <f t="shared" si="50"/>
        <v>38.22088292061607</v>
      </c>
      <c r="CD63" s="27">
        <f>IF(CJ62&lt;'DadosReais&amp;Graficos'!MinASW,'DadosReais&amp;Graficos'!MinASW,IF(CJ62&gt;'DadosReais&amp;Graficos'!MaxASW,'DadosReais&amp;Graficos'!MaxASW,CJ62))</f>
        <v>177.7480730795333</v>
      </c>
      <c r="CE63" s="25">
        <f t="shared" si="107"/>
        <v>24.45600036621094</v>
      </c>
      <c r="CG63" s="27">
        <f t="shared" si="108"/>
        <v>340.78807552093957</v>
      </c>
      <c r="CH63" s="27">
        <f t="shared" si="51"/>
        <v>62.67688328682701</v>
      </c>
      <c r="CI63" s="27">
        <f>MAX(CG63-CH63-'DadosReais&amp;Graficos'!MaxASW,0)</f>
        <v>78.11119223411254</v>
      </c>
      <c r="CJ63" s="27">
        <f t="shared" si="63"/>
        <v>200</v>
      </c>
      <c r="CK63" s="27">
        <f>poolFractn*Month!CI63</f>
        <v>0</v>
      </c>
      <c r="CQ63" s="25">
        <f>SIN(PI()*'DadosReais&amp;Graficos'!Lat/180)</f>
        <v>0.6293203910498374</v>
      </c>
      <c r="CR63" s="25">
        <f>COS(PI()*'DadosReais&amp;Graficos'!Lat/180)</f>
        <v>0.7771459614569709</v>
      </c>
      <c r="CS63" s="25">
        <f t="shared" si="65"/>
        <v>1986</v>
      </c>
      <c r="CT63" s="29">
        <f t="shared" si="66"/>
        <v>31413</v>
      </c>
      <c r="CU63" s="30">
        <f t="shared" si="52"/>
        <v>2</v>
      </c>
      <c r="CV63" s="27">
        <f t="shared" si="109"/>
        <v>44</v>
      </c>
      <c r="CW63" s="25">
        <f t="shared" si="67"/>
        <v>-0.2321535487640738</v>
      </c>
      <c r="CX63" s="25">
        <f t="shared" si="110"/>
        <v>0.19327466507755395</v>
      </c>
      <c r="CY63" s="25">
        <f t="shared" si="68"/>
        <v>0.43808915598112486</v>
      </c>
      <c r="CZ63" s="25">
        <f t="shared" si="69"/>
        <v>37850.90307676919</v>
      </c>
    </row>
    <row r="64" spans="1:104" ht="12.75">
      <c r="A64" s="149">
        <f t="shared" si="111"/>
        <v>31471</v>
      </c>
      <c r="B64" s="60">
        <f t="shared" si="71"/>
        <v>10.92</v>
      </c>
      <c r="C64" s="78">
        <f t="shared" si="53"/>
        <v>10.91666666666668</v>
      </c>
      <c r="D64" s="171">
        <f t="shared" si="30"/>
        <v>345585.85812913225</v>
      </c>
      <c r="E64" s="30">
        <f t="shared" si="70"/>
        <v>1111</v>
      </c>
      <c r="F64" s="27">
        <f t="shared" si="112"/>
        <v>7.969975920119572</v>
      </c>
      <c r="G64" s="27">
        <f t="shared" si="113"/>
        <v>28.353296176420788</v>
      </c>
      <c r="H64" s="27">
        <f t="shared" si="114"/>
        <v>118.6636431964831</v>
      </c>
      <c r="I64" s="27">
        <f t="shared" si="33"/>
        <v>126.63361911660266</v>
      </c>
      <c r="J64" s="27">
        <f t="shared" si="55"/>
        <v>154.98691529302346</v>
      </c>
      <c r="K64" s="27">
        <f t="shared" si="72"/>
        <v>4.000012738696136</v>
      </c>
      <c r="L64" s="27">
        <f t="shared" si="73"/>
        <v>3.188000520757975</v>
      </c>
      <c r="M64" s="27">
        <f t="shared" si="115"/>
        <v>5.511718515085508</v>
      </c>
      <c r="O64" s="25">
        <f t="shared" si="74"/>
        <v>0.013</v>
      </c>
      <c r="P64" s="25">
        <f t="shared" si="75"/>
        <v>0.10360968696155444</v>
      </c>
      <c r="Q64" s="25">
        <f t="shared" si="76"/>
        <v>0.2835329617642079</v>
      </c>
      <c r="S64" s="27">
        <f t="shared" si="57"/>
        <v>106.80795967280206</v>
      </c>
      <c r="T64" s="27">
        <f t="shared" si="77"/>
        <v>16.332295675239376</v>
      </c>
      <c r="U64" s="27">
        <f t="shared" si="78"/>
        <v>0.16364674858914544</v>
      </c>
      <c r="V64" s="27">
        <f t="shared" si="79"/>
        <v>0.45</v>
      </c>
      <c r="W64" s="27">
        <f t="shared" si="80"/>
        <v>220.5438306925248</v>
      </c>
      <c r="X64" s="27">
        <f t="shared" si="81"/>
        <v>20.20248830771217</v>
      </c>
      <c r="Y64" s="27">
        <f t="shared" si="82"/>
        <v>23.275467224801524</v>
      </c>
      <c r="AA64" s="24">
        <f t="shared" si="83"/>
        <v>0.7780943800140645</v>
      </c>
      <c r="AB64" s="23">
        <f t="shared" si="84"/>
        <v>0.7993302762938203</v>
      </c>
      <c r="AC64" s="23">
        <f>IF('DadosReais&amp;Graficos'!soilClass&gt;0,0.8-0.1*'DadosReais&amp;Graficos'!soilClass,IF('DadosReais&amp;Graficos'!soilClass&lt;0,SWconst0,999))</f>
        <v>0.6000000000000001</v>
      </c>
      <c r="AD64" s="23">
        <f>IF('DadosReais&amp;Graficos'!soilClass&gt;0,11-2*'DadosReais&amp;Graficos'!soilClass,SWpower0)</f>
        <v>7</v>
      </c>
      <c r="AE64" s="24">
        <f>1/(1+((1-CD64/'DadosReais&amp;Graficos'!MaxASW)/AC64)^AD64)</f>
        <v>1</v>
      </c>
      <c r="AF64" s="24">
        <f t="shared" si="58"/>
        <v>0.6</v>
      </c>
      <c r="AG64" s="27">
        <f t="shared" si="85"/>
        <v>1</v>
      </c>
      <c r="AH64" s="27">
        <f t="shared" si="86"/>
        <v>1</v>
      </c>
      <c r="AI64" s="27">
        <f t="shared" si="87"/>
        <v>0.9972178802658498</v>
      </c>
      <c r="AJ64" s="24">
        <f t="shared" si="39"/>
        <v>0.7971064437580395</v>
      </c>
      <c r="AM64" s="27">
        <f t="shared" si="40"/>
        <v>513.0100059509277</v>
      </c>
      <c r="AN64" s="27">
        <f t="shared" si="88"/>
        <v>1</v>
      </c>
      <c r="AO64" s="27">
        <f t="shared" si="89"/>
        <v>0.7968885143668325</v>
      </c>
      <c r="AP64" s="27">
        <f t="shared" si="59"/>
        <v>408.8117814975547</v>
      </c>
      <c r="AQ64" s="27">
        <f t="shared" si="90"/>
        <v>0.034112322428862016</v>
      </c>
      <c r="AR64" s="27">
        <f t="shared" si="91"/>
        <v>1.8830001980731832</v>
      </c>
      <c r="AS64" s="27">
        <f t="shared" si="43"/>
        <v>1</v>
      </c>
      <c r="AT64" s="25">
        <f t="shared" si="44"/>
        <v>7.697926655345464</v>
      </c>
      <c r="AU64" s="25">
        <f t="shared" si="92"/>
        <v>3.618025528012368</v>
      </c>
      <c r="AW64" s="25">
        <f t="shared" si="93"/>
        <v>0.6</v>
      </c>
      <c r="AX64" s="25">
        <f t="shared" si="94"/>
        <v>0.10005684985713116</v>
      </c>
      <c r="AY64" s="25">
        <f t="shared" si="95"/>
        <v>0.2363005889914893</v>
      </c>
      <c r="AZ64" s="25">
        <f t="shared" si="61"/>
        <v>0.6942363125212078</v>
      </c>
      <c r="BA64" s="25">
        <f t="shared" si="62"/>
        <v>0.06946309848730292</v>
      </c>
      <c r="BB64" s="25">
        <f t="shared" si="96"/>
        <v>0.25131926358189927</v>
      </c>
      <c r="BC64" s="25">
        <f t="shared" si="97"/>
        <v>0.8549415632555667</v>
      </c>
      <c r="BD64" s="25">
        <f t="shared" si="98"/>
        <v>2.511764701174902</v>
      </c>
      <c r="BG64" s="76">
        <f t="shared" si="116"/>
        <v>31472</v>
      </c>
      <c r="BH64" s="30">
        <f t="shared" si="99"/>
        <v>31</v>
      </c>
      <c r="BI64" s="27">
        <f>'PSP-1 Metdata'!D65</f>
        <v>10.900000095367432</v>
      </c>
      <c r="BJ64" s="28">
        <f>'PSP-1 Metdata'!E65</f>
        <v>16</v>
      </c>
      <c r="BK64" s="28">
        <f>'PSP-1 Metdata'!F65</f>
        <v>5.800000190734863</v>
      </c>
      <c r="BL64" s="28">
        <f>'PSP-1 Metdata'!G65</f>
        <v>33.120001220703124</v>
      </c>
      <c r="BM64" s="28">
        <f>'PSP-1 Metdata'!I65</f>
        <v>16.548709869384766</v>
      </c>
      <c r="BN64" s="28">
        <f>'PSP-1 Metdata'!J65</f>
        <v>9</v>
      </c>
      <c r="BO64" s="28">
        <f>'PSP-1 Metdata'!K65</f>
        <v>0</v>
      </c>
      <c r="BP64" s="25">
        <f>'PSP-1 Metdata'!L65</f>
        <v>18.181122957281406</v>
      </c>
      <c r="BQ64" s="25">
        <f>'PSP-1 Metdata'!M65</f>
        <v>9.22188069501885</v>
      </c>
      <c r="BR64" s="25">
        <f>'PSP-1 Metdata'!N65</f>
        <v>4.479621131131278</v>
      </c>
      <c r="BT64" s="25">
        <f t="shared" si="48"/>
        <v>42434.28237611158</v>
      </c>
      <c r="BU64" s="25">
        <f t="shared" si="100"/>
        <v>221.98755237959915</v>
      </c>
      <c r="BV64" s="25">
        <f t="shared" si="101"/>
        <v>0.2</v>
      </c>
      <c r="BW64" s="25">
        <f t="shared" si="102"/>
        <v>1645.045892439982</v>
      </c>
      <c r="BX64" s="25">
        <f t="shared" si="103"/>
        <v>0.01526231686366467</v>
      </c>
      <c r="BY64" s="25">
        <f t="shared" si="104"/>
        <v>16.304170342324916</v>
      </c>
      <c r="BZ64" s="25">
        <f t="shared" si="105"/>
        <v>130.85109287265226</v>
      </c>
      <c r="CA64" s="27">
        <f t="shared" si="106"/>
        <v>2.2571431805613527</v>
      </c>
      <c r="CB64" s="139">
        <f t="shared" si="50"/>
        <v>69.97143859740193</v>
      </c>
      <c r="CD64" s="27">
        <f>IF(CJ63&lt;'DadosReais&amp;Graficos'!MinASW,'DadosReais&amp;Graficos'!MinASW,IF(CJ63&gt;'DadosReais&amp;Graficos'!MaxASW,'DadosReais&amp;Graficos'!MaxASW,CJ63))</f>
        <v>200</v>
      </c>
      <c r="CE64" s="25">
        <f t="shared" si="107"/>
        <v>4.9680001831054685</v>
      </c>
      <c r="CG64" s="27">
        <f t="shared" si="108"/>
        <v>233.12000122070313</v>
      </c>
      <c r="CH64" s="27">
        <f t="shared" si="51"/>
        <v>74.9394387805074</v>
      </c>
      <c r="CI64" s="27">
        <f>MAX(CG64-CH64-'DadosReais&amp;Graficos'!MaxASW,0)</f>
        <v>0</v>
      </c>
      <c r="CJ64" s="27">
        <f t="shared" si="63"/>
        <v>158.18056244019573</v>
      </c>
      <c r="CK64" s="27">
        <f>poolFractn*Month!CI64</f>
        <v>0</v>
      </c>
      <c r="CQ64" s="25">
        <f>SIN(PI()*'DadosReais&amp;Graficos'!Lat/180)</f>
        <v>0.6293203910498374</v>
      </c>
      <c r="CR64" s="25">
        <f>COS(PI()*'DadosReais&amp;Graficos'!Lat/180)</f>
        <v>0.7771459614569709</v>
      </c>
      <c r="CS64" s="25">
        <f t="shared" si="65"/>
        <v>1986</v>
      </c>
      <c r="CT64" s="29">
        <f t="shared" si="66"/>
        <v>31413</v>
      </c>
      <c r="CU64" s="30">
        <f t="shared" si="52"/>
        <v>3</v>
      </c>
      <c r="CV64" s="27">
        <f t="shared" si="109"/>
        <v>75</v>
      </c>
      <c r="CW64" s="25">
        <f t="shared" si="67"/>
        <v>-0.03435761194480621</v>
      </c>
      <c r="CX64" s="25">
        <f t="shared" si="110"/>
        <v>0.027838681446559606</v>
      </c>
      <c r="CY64" s="25">
        <f t="shared" si="68"/>
        <v>0.49113752750129147</v>
      </c>
      <c r="CZ64" s="25">
        <f t="shared" si="69"/>
        <v>42434.28237611158</v>
      </c>
    </row>
    <row r="65" spans="1:104" ht="12.75">
      <c r="A65" s="149">
        <f t="shared" si="111"/>
        <v>31499</v>
      </c>
      <c r="B65" s="60">
        <f t="shared" si="71"/>
        <v>11</v>
      </c>
      <c r="C65" s="78">
        <f t="shared" si="53"/>
        <v>11.000000000000014</v>
      </c>
      <c r="D65" s="171">
        <f t="shared" si="30"/>
        <v>334709.080265235</v>
      </c>
      <c r="E65" s="30">
        <f t="shared" si="70"/>
        <v>1111</v>
      </c>
      <c r="F65" s="27">
        <f t="shared" si="112"/>
        <v>8.117685496739917</v>
      </c>
      <c r="G65" s="27">
        <f t="shared" si="113"/>
        <v>28.924704777912144</v>
      </c>
      <c r="H65" s="27">
        <f t="shared" si="114"/>
        <v>121.17540789765799</v>
      </c>
      <c r="I65" s="27">
        <f t="shared" si="33"/>
        <v>129.2930933943979</v>
      </c>
      <c r="J65" s="27">
        <f t="shared" si="55"/>
        <v>158.21779817231004</v>
      </c>
      <c r="K65" s="27">
        <f t="shared" si="72"/>
        <v>4.00001040296947</v>
      </c>
      <c r="L65" s="27">
        <f t="shared" si="73"/>
        <v>3.2470826434994056</v>
      </c>
      <c r="M65" s="27">
        <f t="shared" si="115"/>
        <v>5.6153282020470625</v>
      </c>
      <c r="O65" s="25">
        <f t="shared" si="74"/>
        <v>0.013</v>
      </c>
      <c r="P65" s="25">
        <f t="shared" si="75"/>
        <v>0.1055299114576189</v>
      </c>
      <c r="Q65" s="25">
        <f t="shared" si="76"/>
        <v>0.28924704777912147</v>
      </c>
      <c r="S65" s="27">
        <f t="shared" si="57"/>
        <v>109.06877398529072</v>
      </c>
      <c r="T65" s="27">
        <f t="shared" si="77"/>
        <v>16.459199319247755</v>
      </c>
      <c r="U65" s="27">
        <f t="shared" si="78"/>
        <v>0.1632582521472477</v>
      </c>
      <c r="V65" s="27">
        <f t="shared" si="79"/>
        <v>0.45</v>
      </c>
      <c r="W65" s="27">
        <f t="shared" si="80"/>
        <v>225.31671689123678</v>
      </c>
      <c r="X65" s="27">
        <f t="shared" si="81"/>
        <v>20.483337899203317</v>
      </c>
      <c r="Y65" s="27">
        <f t="shared" si="82"/>
        <v>23.638578094975845</v>
      </c>
      <c r="AA65" s="24">
        <f t="shared" si="83"/>
        <v>0.7486596707821628</v>
      </c>
      <c r="AB65" s="23">
        <f t="shared" si="84"/>
        <v>0.8095626760065471</v>
      </c>
      <c r="AC65" s="23">
        <f>IF('DadosReais&amp;Graficos'!soilClass&gt;0,0.8-0.1*'DadosReais&amp;Graficos'!soilClass,IF('DadosReais&amp;Graficos'!soilClass&lt;0,SWconst0,999))</f>
        <v>0.6000000000000001</v>
      </c>
      <c r="AD65" s="23">
        <f>IF('DadosReais&amp;Graficos'!soilClass&gt;0,11-2*'DadosReais&amp;Graficos'!soilClass,SWpower0)</f>
        <v>7</v>
      </c>
      <c r="AE65" s="24">
        <f>1/(1+((1-CD65/'DadosReais&amp;Graficos'!MaxASW)/AC65)^AD65)</f>
        <v>0.999376110675328</v>
      </c>
      <c r="AF65" s="24">
        <f t="shared" si="58"/>
        <v>0.6</v>
      </c>
      <c r="AG65" s="27">
        <f t="shared" si="85"/>
        <v>1</v>
      </c>
      <c r="AH65" s="27">
        <f t="shared" si="86"/>
        <v>0.9666666666666667</v>
      </c>
      <c r="AI65" s="27">
        <f t="shared" si="87"/>
        <v>0.9971321987969842</v>
      </c>
      <c r="AJ65" s="24">
        <f t="shared" si="39"/>
        <v>0.8072410111903788</v>
      </c>
      <c r="AM65" s="27">
        <f t="shared" si="40"/>
        <v>573.5000038146973</v>
      </c>
      <c r="AN65" s="27">
        <f t="shared" si="88"/>
        <v>1</v>
      </c>
      <c r="AO65" s="27">
        <f t="shared" si="89"/>
        <v>0.8028008844274157</v>
      </c>
      <c r="AP65" s="27">
        <f t="shared" si="59"/>
        <v>460.40631028156525</v>
      </c>
      <c r="AQ65" s="27">
        <f t="shared" si="90"/>
        <v>0.032131210651301347</v>
      </c>
      <c r="AR65" s="27">
        <f t="shared" si="91"/>
        <v>1.7736428279518341</v>
      </c>
      <c r="AS65" s="27">
        <f t="shared" si="43"/>
        <v>1</v>
      </c>
      <c r="AT65" s="25">
        <f t="shared" si="44"/>
        <v>8.16596350174665</v>
      </c>
      <c r="AU65" s="25">
        <f t="shared" si="92"/>
        <v>3.8380028458209248</v>
      </c>
      <c r="AW65" s="25">
        <f t="shared" si="93"/>
        <v>0.6</v>
      </c>
      <c r="AX65" s="25">
        <f t="shared" si="94"/>
        <v>0.09965272614898492</v>
      </c>
      <c r="AY65" s="25">
        <f t="shared" si="95"/>
        <v>0.23472664078976688</v>
      </c>
      <c r="AZ65" s="25">
        <f t="shared" si="61"/>
        <v>0.6959227590788977</v>
      </c>
      <c r="BA65" s="25">
        <f t="shared" si="62"/>
        <v>0.06935060013133543</v>
      </c>
      <c r="BB65" s="25">
        <f t="shared" si="96"/>
        <v>0.26616780066345436</v>
      </c>
      <c r="BC65" s="25">
        <f t="shared" si="97"/>
        <v>0.9008815153411113</v>
      </c>
      <c r="BD65" s="25">
        <f t="shared" si="98"/>
        <v>2.670953529816359</v>
      </c>
      <c r="BG65" s="76">
        <f t="shared" si="116"/>
        <v>31503</v>
      </c>
      <c r="BH65" s="30">
        <f t="shared" si="99"/>
        <v>30</v>
      </c>
      <c r="BI65" s="27">
        <f>'PSP-1 Metdata'!D66</f>
        <v>10.599999904632568</v>
      </c>
      <c r="BJ65" s="28">
        <f>'PSP-1 Metdata'!E66</f>
        <v>15.5</v>
      </c>
      <c r="BK65" s="28">
        <f>'PSP-1 Metdata'!F66</f>
        <v>5.699999809265137</v>
      </c>
      <c r="BL65" s="28">
        <f>'PSP-1 Metdata'!G66</f>
        <v>67.2</v>
      </c>
      <c r="BM65" s="28">
        <f>'PSP-1 Metdata'!I66</f>
        <v>19.116666793823242</v>
      </c>
      <c r="BN65" s="28">
        <f>'PSP-1 Metdata'!J66</f>
        <v>12</v>
      </c>
      <c r="BO65" s="28">
        <f>'PSP-1 Metdata'!K66</f>
        <v>1</v>
      </c>
      <c r="BP65" s="25">
        <f>'PSP-1 Metdata'!L66</f>
        <v>17.60857268023594</v>
      </c>
      <c r="BQ65" s="25">
        <f>'PSP-1 Metdata'!M66</f>
        <v>9.158129348946959</v>
      </c>
      <c r="BR65" s="25">
        <f>'PSP-1 Metdata'!N66</f>
        <v>4.225221665644491</v>
      </c>
      <c r="BT65" s="25">
        <f t="shared" si="48"/>
        <v>46978.19870062779</v>
      </c>
      <c r="BU65" s="25">
        <f t="shared" si="100"/>
        <v>235.54107773515426</v>
      </c>
      <c r="BV65" s="25">
        <f t="shared" si="101"/>
        <v>0.2</v>
      </c>
      <c r="BW65" s="25">
        <f t="shared" si="102"/>
        <v>1551.6230820086278</v>
      </c>
      <c r="BX65" s="25">
        <f t="shared" si="103"/>
        <v>0.015742812471814947</v>
      </c>
      <c r="BY65" s="25">
        <f t="shared" si="104"/>
        <v>15.904210277424625</v>
      </c>
      <c r="BZ65" s="25">
        <f t="shared" si="105"/>
        <v>130.14248534955442</v>
      </c>
      <c r="CA65" s="27">
        <f t="shared" si="106"/>
        <v>2.485308754530451</v>
      </c>
      <c r="CB65" s="139">
        <f t="shared" si="50"/>
        <v>74.55926263591353</v>
      </c>
      <c r="CD65" s="27">
        <f>IF(CJ64&lt;'DadosReais&amp;Graficos'!MinASW,'DadosReais&amp;Graficos'!MinASW,IF(CJ64&gt;'DadosReais&amp;Graficos'!MaxASW,'DadosReais&amp;Graficos'!MaxASW,CJ64))</f>
        <v>158.18056244019573</v>
      </c>
      <c r="CE65" s="25">
        <f t="shared" si="107"/>
        <v>10.08</v>
      </c>
      <c r="CG65" s="27">
        <f t="shared" si="108"/>
        <v>225.38056244019572</v>
      </c>
      <c r="CH65" s="27">
        <f t="shared" si="51"/>
        <v>84.63926263591352</v>
      </c>
      <c r="CI65" s="27">
        <f>MAX(CG65-CH65-'DadosReais&amp;Graficos'!MaxASW,0)</f>
        <v>0</v>
      </c>
      <c r="CJ65" s="27">
        <f t="shared" si="63"/>
        <v>140.7412998042822</v>
      </c>
      <c r="CK65" s="27">
        <f>poolFractn*Month!CI65</f>
        <v>0</v>
      </c>
      <c r="CQ65" s="25">
        <f>SIN(PI()*'DadosReais&amp;Graficos'!Lat/180)</f>
        <v>0.6293203910498374</v>
      </c>
      <c r="CR65" s="25">
        <f>COS(PI()*'DadosReais&amp;Graficos'!Lat/180)</f>
        <v>0.7771459614569709</v>
      </c>
      <c r="CS65" s="25">
        <f t="shared" si="65"/>
        <v>1986</v>
      </c>
      <c r="CT65" s="29">
        <f t="shared" si="66"/>
        <v>31413</v>
      </c>
      <c r="CU65" s="30">
        <f t="shared" si="52"/>
        <v>4</v>
      </c>
      <c r="CV65" s="27">
        <f t="shared" si="109"/>
        <v>105</v>
      </c>
      <c r="CW65" s="25">
        <f t="shared" si="67"/>
        <v>0.16674832097168432</v>
      </c>
      <c r="CX65" s="25">
        <f t="shared" si="110"/>
        <v>-0.13694746197546548</v>
      </c>
      <c r="CY65" s="25">
        <f t="shared" si="68"/>
        <v>0.5437291516276365</v>
      </c>
      <c r="CZ65" s="25">
        <f t="shared" si="69"/>
        <v>46978.19870062779</v>
      </c>
    </row>
    <row r="66" spans="1:104" ht="12.75">
      <c r="A66" s="149">
        <f t="shared" si="111"/>
        <v>31530</v>
      </c>
      <c r="B66" s="60">
        <f t="shared" si="71"/>
        <v>11.08</v>
      </c>
      <c r="C66" s="78">
        <f t="shared" si="53"/>
        <v>11.083333333333348</v>
      </c>
      <c r="D66" s="171">
        <f t="shared" si="30"/>
        <v>323724.0843969742</v>
      </c>
      <c r="E66" s="30">
        <f t="shared" si="70"/>
        <v>1111</v>
      </c>
      <c r="F66" s="27">
        <f t="shared" si="112"/>
        <v>8.278323385945752</v>
      </c>
      <c r="G66" s="27">
        <f t="shared" si="113"/>
        <v>29.536339245474135</v>
      </c>
      <c r="H66" s="27">
        <f t="shared" si="114"/>
        <v>123.84636142747435</v>
      </c>
      <c r="I66" s="27">
        <f t="shared" si="33"/>
        <v>132.1246848134201</v>
      </c>
      <c r="J66" s="27">
        <f t="shared" si="55"/>
        <v>161.66102405889424</v>
      </c>
      <c r="K66" s="27">
        <f t="shared" si="72"/>
        <v>4.0000084824383935</v>
      </c>
      <c r="L66" s="27">
        <f t="shared" si="73"/>
        <v>3.3113363764151136</v>
      </c>
      <c r="M66" s="27">
        <f t="shared" si="115"/>
        <v>5.720858113504681</v>
      </c>
      <c r="O66" s="25">
        <f t="shared" si="74"/>
        <v>0.013</v>
      </c>
      <c r="P66" s="25">
        <f t="shared" si="75"/>
        <v>0.10761820401729477</v>
      </c>
      <c r="Q66" s="25">
        <f t="shared" si="76"/>
        <v>0.29536339245474136</v>
      </c>
      <c r="S66" s="27">
        <f t="shared" si="57"/>
        <v>111.47287257198411</v>
      </c>
      <c r="T66" s="27">
        <f t="shared" si="77"/>
        <v>16.59233924355926</v>
      </c>
      <c r="U66" s="27">
        <f t="shared" si="78"/>
        <v>0.1628808154449195</v>
      </c>
      <c r="V66" s="27">
        <f t="shared" si="79"/>
        <v>0.45</v>
      </c>
      <c r="W66" s="27">
        <f t="shared" si="80"/>
        <v>230.38703352951356</v>
      </c>
      <c r="X66" s="27">
        <f t="shared" si="81"/>
        <v>20.786800017700443</v>
      </c>
      <c r="Y66" s="27">
        <f t="shared" si="82"/>
        <v>24.022553959523766</v>
      </c>
      <c r="AA66" s="24">
        <f t="shared" si="83"/>
        <v>0.9998396942373565</v>
      </c>
      <c r="AB66" s="23">
        <f t="shared" si="84"/>
        <v>0.7452348156146308</v>
      </c>
      <c r="AC66" s="23">
        <f>IF('DadosReais&amp;Graficos'!soilClass&gt;0,0.8-0.1*'DadosReais&amp;Graficos'!soilClass,IF('DadosReais&amp;Graficos'!soilClass&lt;0,SWconst0,999))</f>
        <v>0.6000000000000001</v>
      </c>
      <c r="AD66" s="23">
        <f>IF('DadosReais&amp;Graficos'!soilClass&gt;0,11-2*'DadosReais&amp;Graficos'!soilClass,SWpower0)</f>
        <v>7</v>
      </c>
      <c r="AE66" s="24">
        <f>1/(1+((1-CD66/'DadosReais&amp;Graficos'!MaxASW)/AC66)^AD66)</f>
        <v>0.9928895503338964</v>
      </c>
      <c r="AF66" s="24">
        <f t="shared" si="58"/>
        <v>0.6</v>
      </c>
      <c r="AG66" s="27">
        <f t="shared" si="85"/>
        <v>1</v>
      </c>
      <c r="AH66" s="27">
        <f t="shared" si="86"/>
        <v>1</v>
      </c>
      <c r="AI66" s="27">
        <f t="shared" si="87"/>
        <v>0.9970445629682877</v>
      </c>
      <c r="AJ66" s="24">
        <f t="shared" si="39"/>
        <v>0.743032321043242</v>
      </c>
      <c r="AM66" s="27">
        <f t="shared" si="40"/>
        <v>790.5199851989746</v>
      </c>
      <c r="AN66" s="27">
        <f t="shared" si="88"/>
        <v>1</v>
      </c>
      <c r="AO66" s="27">
        <f t="shared" si="89"/>
        <v>0.8090355871032566</v>
      </c>
      <c r="AP66" s="27">
        <f t="shared" si="59"/>
        <v>639.5588003423102</v>
      </c>
      <c r="AQ66" s="27">
        <f t="shared" si="90"/>
        <v>0.040860226477419166</v>
      </c>
      <c r="AR66" s="27">
        <f t="shared" si="91"/>
        <v>2.255484501553538</v>
      </c>
      <c r="AS66" s="27">
        <f t="shared" si="43"/>
        <v>1</v>
      </c>
      <c r="AT66" s="25">
        <f t="shared" si="44"/>
        <v>14.425149620042541</v>
      </c>
      <c r="AU66" s="25">
        <f t="shared" si="92"/>
        <v>6.779820321419994</v>
      </c>
      <c r="AW66" s="25">
        <f t="shared" si="93"/>
        <v>0.6</v>
      </c>
      <c r="AX66" s="25">
        <f t="shared" si="94"/>
        <v>0.09923381230858759</v>
      </c>
      <c r="AY66" s="25">
        <f t="shared" si="95"/>
        <v>0.24506857699200868</v>
      </c>
      <c r="AZ66" s="25">
        <f t="shared" si="61"/>
        <v>0.6867796592087176</v>
      </c>
      <c r="BA66" s="25">
        <f t="shared" si="62"/>
        <v>0.06815176379927368</v>
      </c>
      <c r="BB66" s="25">
        <f t="shared" si="96"/>
        <v>0.46205671314693114</v>
      </c>
      <c r="BC66" s="25">
        <f t="shared" si="97"/>
        <v>1.6615209184319009</v>
      </c>
      <c r="BD66" s="25">
        <f t="shared" si="98"/>
        <v>4.656242689841162</v>
      </c>
      <c r="BG66" s="76">
        <f t="shared" si="116"/>
        <v>31533</v>
      </c>
      <c r="BH66" s="30">
        <f t="shared" si="99"/>
        <v>31</v>
      </c>
      <c r="BI66" s="27">
        <f>'PSP-1 Metdata'!D67</f>
        <v>15.849999904632568</v>
      </c>
      <c r="BJ66" s="28">
        <f>'PSP-1 Metdata'!E67</f>
        <v>20.899999618530273</v>
      </c>
      <c r="BK66" s="28">
        <f>'PSP-1 Metdata'!F67</f>
        <v>10.800000190734863</v>
      </c>
      <c r="BL66" s="28">
        <f>'PSP-1 Metdata'!G67</f>
        <v>14</v>
      </c>
      <c r="BM66" s="28">
        <f>'PSP-1 Metdata'!I67</f>
        <v>25.50064468383789</v>
      </c>
      <c r="BN66" s="28">
        <f>'PSP-1 Metdata'!J67</f>
        <v>2</v>
      </c>
      <c r="BO66" s="28">
        <f>'PSP-1 Metdata'!K67</f>
        <v>0</v>
      </c>
      <c r="BP66" s="25">
        <f>'PSP-1 Metdata'!L67</f>
        <v>24.714889883870146</v>
      </c>
      <c r="BQ66" s="25">
        <f>'PSP-1 Metdata'!M67</f>
        <v>12.952653023084384</v>
      </c>
      <c r="BR66" s="25">
        <f>'PSP-1 Metdata'!N67</f>
        <v>5.881118430392881</v>
      </c>
      <c r="BT66" s="25">
        <f t="shared" si="48"/>
        <v>51049.507507765746</v>
      </c>
      <c r="BU66" s="25">
        <f t="shared" si="100"/>
        <v>309.62218526725155</v>
      </c>
      <c r="BV66" s="25">
        <f t="shared" si="101"/>
        <v>0.2</v>
      </c>
      <c r="BW66" s="25">
        <f t="shared" si="102"/>
        <v>2159.7160638510613</v>
      </c>
      <c r="BX66" s="25">
        <f t="shared" si="103"/>
        <v>0.014777357078214056</v>
      </c>
      <c r="BY66" s="25">
        <f t="shared" si="104"/>
        <v>16.734219883936877</v>
      </c>
      <c r="BZ66" s="25">
        <f t="shared" si="105"/>
        <v>169.7650019625935</v>
      </c>
      <c r="CA66" s="27">
        <f t="shared" si="106"/>
        <v>3.522934854571253</v>
      </c>
      <c r="CB66" s="139">
        <f t="shared" si="50"/>
        <v>109.21098049170885</v>
      </c>
      <c r="CD66" s="27">
        <f>IF(CJ65&lt;'DadosReais&amp;Graficos'!MinASW,'DadosReais&amp;Graficos'!MinASW,IF(CJ65&gt;'DadosReais&amp;Graficos'!MaxASW,'DadosReais&amp;Graficos'!MaxASW,CJ65))</f>
        <v>140.7412998042822</v>
      </c>
      <c r="CE66" s="25">
        <f t="shared" si="107"/>
        <v>2.1</v>
      </c>
      <c r="CG66" s="27">
        <f t="shared" si="108"/>
        <v>154.7412998042822</v>
      </c>
      <c r="CH66" s="27">
        <f t="shared" si="51"/>
        <v>111.31098049170885</v>
      </c>
      <c r="CI66" s="27">
        <f>MAX(CG66-CH66-'DadosReais&amp;Graficos'!MaxASW,0)</f>
        <v>0</v>
      </c>
      <c r="CJ66" s="27">
        <f t="shared" si="63"/>
        <v>43.430319312573346</v>
      </c>
      <c r="CK66" s="27">
        <f>poolFractn*Month!CI66</f>
        <v>0</v>
      </c>
      <c r="CQ66" s="25">
        <f>SIN(PI()*'DadosReais&amp;Graficos'!Lat/180)</f>
        <v>0.6293203910498374</v>
      </c>
      <c r="CR66" s="25">
        <f>COS(PI()*'DadosReais&amp;Graficos'!Lat/180)</f>
        <v>0.7771459614569709</v>
      </c>
      <c r="CS66" s="25">
        <f t="shared" si="65"/>
        <v>1986</v>
      </c>
      <c r="CT66" s="29">
        <f t="shared" si="66"/>
        <v>31413</v>
      </c>
      <c r="CU66" s="30">
        <f t="shared" si="52"/>
        <v>5</v>
      </c>
      <c r="CV66" s="27">
        <f t="shared" si="109"/>
        <v>136</v>
      </c>
      <c r="CW66" s="25">
        <f t="shared" si="67"/>
        <v>0.328409053946799</v>
      </c>
      <c r="CX66" s="25">
        <f t="shared" si="110"/>
        <v>-0.2815567874772962</v>
      </c>
      <c r="CY66" s="25">
        <f t="shared" si="68"/>
        <v>0.5908507813398813</v>
      </c>
      <c r="CZ66" s="25">
        <f t="shared" si="69"/>
        <v>51049.507507765746</v>
      </c>
    </row>
    <row r="67" spans="1:104" ht="12.75">
      <c r="A67" s="149">
        <f t="shared" si="111"/>
        <v>31560</v>
      </c>
      <c r="B67" s="60">
        <f t="shared" si="71"/>
        <v>11.17</v>
      </c>
      <c r="C67" s="78">
        <f t="shared" si="53"/>
        <v>11.166666666666682</v>
      </c>
      <c r="D67" s="171">
        <f t="shared" si="30"/>
        <v>304882.280639543</v>
      </c>
      <c r="E67" s="30">
        <f t="shared" si="70"/>
        <v>1111</v>
      </c>
      <c r="F67" s="27">
        <f t="shared" si="112"/>
        <v>8.632761895075388</v>
      </c>
      <c r="G67" s="27">
        <f t="shared" si="113"/>
        <v>30.902496771451293</v>
      </c>
      <c r="H67" s="27">
        <f t="shared" si="114"/>
        <v>128.5026041173155</v>
      </c>
      <c r="I67" s="27">
        <f t="shared" si="33"/>
        <v>137.1353660123909</v>
      </c>
      <c r="J67" s="27">
        <f t="shared" si="55"/>
        <v>168.0378627838422</v>
      </c>
      <c r="K67" s="27">
        <f t="shared" si="72"/>
        <v>4.000006905818322</v>
      </c>
      <c r="L67" s="27">
        <f t="shared" si="73"/>
        <v>3.4531107196586817</v>
      </c>
      <c r="M67" s="27">
        <f t="shared" si="115"/>
        <v>5.828476317521976</v>
      </c>
      <c r="O67" s="25">
        <f t="shared" si="74"/>
        <v>0.013</v>
      </c>
      <c r="P67" s="25">
        <f t="shared" si="75"/>
        <v>0.11222590463598005</v>
      </c>
      <c r="Q67" s="25">
        <f t="shared" si="76"/>
        <v>0.30902496771451293</v>
      </c>
      <c r="S67" s="27">
        <f t="shared" si="57"/>
        <v>115.66391009659361</v>
      </c>
      <c r="T67" s="27">
        <f t="shared" si="77"/>
        <v>16.820177126786135</v>
      </c>
      <c r="U67" s="27">
        <f t="shared" si="78"/>
        <v>0.162514123632844</v>
      </c>
      <c r="V67" s="27">
        <f t="shared" si="79"/>
        <v>0.45</v>
      </c>
      <c r="W67" s="27">
        <f t="shared" si="80"/>
        <v>239.15359116589264</v>
      </c>
      <c r="X67" s="27">
        <f t="shared" si="81"/>
        <v>21.41673950739334</v>
      </c>
      <c r="Y67" s="27">
        <f t="shared" si="82"/>
        <v>24.686815429050025</v>
      </c>
      <c r="AA67" s="24">
        <f t="shared" si="83"/>
        <v>0.9808679740695874</v>
      </c>
      <c r="AB67" s="23">
        <f t="shared" si="84"/>
        <v>0.6511067480143563</v>
      </c>
      <c r="AC67" s="23">
        <f>IF('DadosReais&amp;Graficos'!soilClass&gt;0,0.8-0.1*'DadosReais&amp;Graficos'!soilClass,IF('DadosReais&amp;Graficos'!soilClass&lt;0,SWconst0,999))</f>
        <v>0.6000000000000001</v>
      </c>
      <c r="AD67" s="23">
        <f>IF('DadosReais&amp;Graficos'!soilClass&gt;0,11-2*'DadosReais&amp;Graficos'!soilClass,SWpower0)</f>
        <v>7</v>
      </c>
      <c r="AE67" s="24">
        <f>1/(1+((1-CD67/'DadosReais&amp;Graficos'!MaxASW)/AC67)^AD67)</f>
        <v>0.13446243792945092</v>
      </c>
      <c r="AF67" s="24">
        <f t="shared" si="58"/>
        <v>0.6</v>
      </c>
      <c r="AG67" s="27">
        <f t="shared" si="85"/>
        <v>1</v>
      </c>
      <c r="AH67" s="27">
        <f t="shared" si="86"/>
        <v>1</v>
      </c>
      <c r="AI67" s="27">
        <f t="shared" si="87"/>
        <v>0.9969549438723214</v>
      </c>
      <c r="AJ67" s="24">
        <f t="shared" si="39"/>
        <v>0.13405299225889125</v>
      </c>
      <c r="AM67" s="27">
        <f t="shared" si="40"/>
        <v>852.3200225830078</v>
      </c>
      <c r="AN67" s="27">
        <f t="shared" si="88"/>
        <v>1</v>
      </c>
      <c r="AO67" s="27">
        <f t="shared" si="89"/>
        <v>0.822103856033038</v>
      </c>
      <c r="AP67" s="27">
        <f t="shared" si="59"/>
        <v>700.6955771396567</v>
      </c>
      <c r="AQ67" s="27">
        <f t="shared" si="90"/>
        <v>0.007231855781421961</v>
      </c>
      <c r="AR67" s="27">
        <f t="shared" si="91"/>
        <v>0.3991984391344922</v>
      </c>
      <c r="AS67" s="27">
        <f t="shared" si="43"/>
        <v>1</v>
      </c>
      <c r="AT67" s="25">
        <f t="shared" si="44"/>
        <v>2.7971658070259315</v>
      </c>
      <c r="AU67" s="25">
        <f t="shared" si="92"/>
        <v>1.3146679293021877</v>
      </c>
      <c r="AW67" s="25">
        <f t="shared" si="93"/>
        <v>0.6</v>
      </c>
      <c r="AX67" s="25">
        <f t="shared" si="94"/>
        <v>0.0985286865613472</v>
      </c>
      <c r="AY67" s="25">
        <f t="shared" si="95"/>
        <v>0.4209908782749602</v>
      </c>
      <c r="AZ67" s="25">
        <f t="shared" si="61"/>
        <v>0.5270769246249494</v>
      </c>
      <c r="BA67" s="25">
        <f t="shared" si="62"/>
        <v>0.05193219710009045</v>
      </c>
      <c r="BB67" s="25">
        <f t="shared" si="96"/>
        <v>0.06827359402568899</v>
      </c>
      <c r="BC67" s="25">
        <f t="shared" si="97"/>
        <v>0.5534632061968513</v>
      </c>
      <c r="BD67" s="25">
        <f t="shared" si="98"/>
        <v>0.6929311290796475</v>
      </c>
      <c r="BG67" s="76">
        <f t="shared" si="116"/>
        <v>31564</v>
      </c>
      <c r="BH67" s="30">
        <f t="shared" si="99"/>
        <v>30</v>
      </c>
      <c r="BI67" s="27">
        <f>'PSP-1 Metdata'!D68</f>
        <v>17.699999809265137</v>
      </c>
      <c r="BJ67" s="28">
        <f>'PSP-1 Metdata'!E68</f>
        <v>24.299999237060547</v>
      </c>
      <c r="BK67" s="28">
        <f>'PSP-1 Metdata'!F68</f>
        <v>11.100000381469727</v>
      </c>
      <c r="BL67" s="28">
        <f>'PSP-1 Metdata'!G68</f>
        <v>9.6</v>
      </c>
      <c r="BM67" s="28">
        <f>'PSP-1 Metdata'!I68</f>
        <v>28.410667419433594</v>
      </c>
      <c r="BN67" s="28">
        <f>'PSP-1 Metdata'!J68</f>
        <v>2</v>
      </c>
      <c r="BO67" s="28">
        <f>'PSP-1 Metdata'!K68</f>
        <v>0</v>
      </c>
      <c r="BP67" s="25">
        <f>'PSP-1 Metdata'!L68</f>
        <v>30.37689914141491</v>
      </c>
      <c r="BQ67" s="25">
        <f>'PSP-1 Metdata'!M68</f>
        <v>13.213632150551243</v>
      </c>
      <c r="BR67" s="25">
        <f>'PSP-1 Metdata'!N68</f>
        <v>8.581633495431834</v>
      </c>
      <c r="BT67" s="25">
        <f t="shared" si="48"/>
        <v>53082.57808162483</v>
      </c>
      <c r="BU67" s="25">
        <f t="shared" si="100"/>
        <v>338.1731362142456</v>
      </c>
      <c r="BV67" s="25">
        <f t="shared" si="101"/>
        <v>0.2</v>
      </c>
      <c r="BW67" s="25">
        <f t="shared" si="102"/>
        <v>3151.4229705672383</v>
      </c>
      <c r="BX67" s="25">
        <f t="shared" si="103"/>
        <v>0.0026810598451778253</v>
      </c>
      <c r="BY67" s="25">
        <f t="shared" si="104"/>
        <v>77.79736505312313</v>
      </c>
      <c r="BZ67" s="25">
        <f t="shared" si="105"/>
        <v>50.07115430681544</v>
      </c>
      <c r="CA67" s="27">
        <f t="shared" si="106"/>
        <v>1.080449576475047</v>
      </c>
      <c r="CB67" s="139">
        <f t="shared" si="50"/>
        <v>32.41348729425141</v>
      </c>
      <c r="CD67" s="27">
        <f>IF(CJ66&lt;'DadosReais&amp;Graficos'!MinASW,'DadosReais&amp;Graficos'!MinASW,IF(CJ66&gt;'DadosReais&amp;Graficos'!MaxASW,'DadosReais&amp;Graficos'!MaxASW,CJ66))</f>
        <v>43.430319312573346</v>
      </c>
      <c r="CE67" s="25">
        <f t="shared" si="107"/>
        <v>1.44</v>
      </c>
      <c r="CG67" s="27">
        <f t="shared" si="108"/>
        <v>53.03031931257335</v>
      </c>
      <c r="CH67" s="27">
        <f t="shared" si="51"/>
        <v>33.85348729425141</v>
      </c>
      <c r="CI67" s="27">
        <f>MAX(CG67-CH67-'DadosReais&amp;Graficos'!MaxASW,0)</f>
        <v>0</v>
      </c>
      <c r="CJ67" s="27">
        <f t="shared" si="63"/>
        <v>19.17683201832194</v>
      </c>
      <c r="CK67" s="27">
        <f>poolFractn*Month!CI67</f>
        <v>0</v>
      </c>
      <c r="CQ67" s="25">
        <f>SIN(PI()*'DadosReais&amp;Graficos'!Lat/180)</f>
        <v>0.6293203910498374</v>
      </c>
      <c r="CR67" s="25">
        <f>COS(PI()*'DadosReais&amp;Graficos'!Lat/180)</f>
        <v>0.7771459614569709</v>
      </c>
      <c r="CS67" s="25">
        <f t="shared" si="65"/>
        <v>1986</v>
      </c>
      <c r="CT67" s="29">
        <f t="shared" si="66"/>
        <v>31413</v>
      </c>
      <c r="CU67" s="30">
        <f t="shared" si="52"/>
        <v>6</v>
      </c>
      <c r="CV67" s="27">
        <f t="shared" si="109"/>
        <v>166</v>
      </c>
      <c r="CW67" s="25">
        <f t="shared" si="67"/>
        <v>0.3983231954255811</v>
      </c>
      <c r="CX67" s="25">
        <f t="shared" si="110"/>
        <v>-0.3516571006926921</v>
      </c>
      <c r="CY67" s="25">
        <f t="shared" si="68"/>
        <v>0.6143816907595466</v>
      </c>
      <c r="CZ67" s="25">
        <f t="shared" si="69"/>
        <v>53082.57808162483</v>
      </c>
    </row>
    <row r="68" spans="1:104" ht="12.75">
      <c r="A68" s="149">
        <f t="shared" si="111"/>
        <v>31591</v>
      </c>
      <c r="B68" s="60">
        <f t="shared" si="71"/>
        <v>11.25</v>
      </c>
      <c r="C68" s="78">
        <f t="shared" si="53"/>
        <v>11.250000000000016</v>
      </c>
      <c r="D68" s="171">
        <f t="shared" si="30"/>
        <v>302386.67786518007</v>
      </c>
      <c r="E68" s="30">
        <f t="shared" si="70"/>
        <v>1111</v>
      </c>
      <c r="F68" s="27">
        <f t="shared" si="112"/>
        <v>8.588809584465096</v>
      </c>
      <c r="G68" s="27">
        <f t="shared" si="113"/>
        <v>31.14693500993363</v>
      </c>
      <c r="H68" s="27">
        <f t="shared" si="114"/>
        <v>129.19553524639517</v>
      </c>
      <c r="I68" s="27">
        <f t="shared" si="33"/>
        <v>137.78434483086028</v>
      </c>
      <c r="J68" s="27">
        <f aca="true" t="shared" si="117" ref="J68:J131">SUM(F68:H68)</f>
        <v>168.93127984079388</v>
      </c>
      <c r="K68" s="27">
        <f aca="true" t="shared" si="118" ref="K68:K131">SLA1+(SLA0-SLA1)*EXP(-LN(2)*(C68/tSLA)^2)</f>
        <v>4.000005613589198</v>
      </c>
      <c r="L68" s="27">
        <f aca="true" t="shared" si="119" ref="L68:L131">0.1*F68*K68</f>
        <v>3.435528655190909</v>
      </c>
      <c r="M68" s="27">
        <f aca="true" t="shared" si="120" ref="M68:M131">M67+P67</f>
        <v>5.940702222157956</v>
      </c>
      <c r="O68" s="25">
        <f t="shared" si="74"/>
        <v>0.013</v>
      </c>
      <c r="P68" s="25">
        <f aca="true" t="shared" si="121" ref="P68:P131">O68*F68</f>
        <v>0.11165452459804624</v>
      </c>
      <c r="Q68" s="25">
        <f aca="true" t="shared" si="122" ref="Q68:Q131">Rttover*G68</f>
        <v>0.31146935009933635</v>
      </c>
      <c r="S68" s="27">
        <f t="shared" si="57"/>
        <v>116.28761048280394</v>
      </c>
      <c r="T68" s="27">
        <f t="shared" si="77"/>
        <v>16.853636060871516</v>
      </c>
      <c r="U68" s="27">
        <f aca="true" t="shared" si="123" ref="U68:U131">fracBB1+(fracBB0-fracBB1)*EXP(-LN(2)*(C68/tBB))</f>
        <v>0.16215787082485314</v>
      </c>
      <c r="V68" s="27">
        <f aca="true" t="shared" si="124" ref="V68:V131">rhoMax+(rhoMin-rhoMax)*EXP(-LN(2)*(C68/tRho))</f>
        <v>0.45</v>
      </c>
      <c r="W68" s="27">
        <f t="shared" si="80"/>
        <v>240.5454718461388</v>
      </c>
      <c r="X68" s="27">
        <f t="shared" si="81"/>
        <v>21.381819719656754</v>
      </c>
      <c r="Y68" s="27">
        <f t="shared" si="82"/>
        <v>24.78512783848347</v>
      </c>
      <c r="AA68" s="24">
        <f t="shared" si="83"/>
        <v>0.8737053202630608</v>
      </c>
      <c r="AB68" s="23">
        <f aca="true" t="shared" si="125" ref="AB68:AB131">EXP(-CoeffCond*BR68)</f>
        <v>0.6511807462992274</v>
      </c>
      <c r="AC68" s="23">
        <f>IF('DadosReais&amp;Graficos'!soilClass&gt;0,0.8-0.1*'DadosReais&amp;Graficos'!soilClass,IF('DadosReais&amp;Graficos'!soilClass&lt;0,SWconst0,999))</f>
        <v>0.6000000000000001</v>
      </c>
      <c r="AD68" s="23">
        <f>IF('DadosReais&amp;Graficos'!soilClass&gt;0,11-2*'DadosReais&amp;Graficos'!soilClass,SWpower0)</f>
        <v>7</v>
      </c>
      <c r="AE68" s="24">
        <f>1/(1+((1-CD68/'DadosReais&amp;Graficos'!MaxASW)/AC68)^AD68)</f>
        <v>0.053646757874057836</v>
      </c>
      <c r="AF68" s="24">
        <f aca="true" t="shared" si="126" ref="AF68:AF131">AF67</f>
        <v>0.6</v>
      </c>
      <c r="AG68" s="27">
        <f t="shared" si="85"/>
        <v>1</v>
      </c>
      <c r="AH68" s="27">
        <f aca="true" t="shared" si="127" ref="AH68:AH131">1-kF*(BO68/30)</f>
        <v>1</v>
      </c>
      <c r="AI68" s="27">
        <f aca="true" t="shared" si="128" ref="AI68:AI131">(1/(1+((C68/MaxAge)/rAge)^nAge))</f>
        <v>0.9968633124204891</v>
      </c>
      <c r="AJ68" s="24">
        <f aca="true" t="shared" si="129" ref="AJ68:AJ131">MIN(AB68,AE68)*AI68</f>
        <v>0.05347848475495325</v>
      </c>
      <c r="AM68" s="27">
        <f t="shared" si="40"/>
        <v>864.9799880981445</v>
      </c>
      <c r="AN68" s="27">
        <f aca="true" t="shared" si="130" ref="AN68:AN131">IF(AND(fullCanAge&gt;0,C68&lt;fullCanAge),C68/fullCanAge,1)</f>
        <v>1</v>
      </c>
      <c r="AO68" s="27">
        <f aca="true" t="shared" si="131" ref="AO68:AO131">(1-(EXP(-k*L68)))</f>
        <v>0.8205330710023586</v>
      </c>
      <c r="AP68" s="27">
        <f aca="true" t="shared" si="132" ref="AP68:AP131">AM68*AO68*AN68</f>
        <v>709.7446859897541</v>
      </c>
      <c r="AQ68" s="27">
        <f aca="true" t="shared" si="133" ref="AQ68:AQ131">alpha*AG68*AA68*AH68*AJ68</f>
        <v>0.0025698440157505306</v>
      </c>
      <c r="AR68" s="27">
        <f t="shared" si="91"/>
        <v>0.1418553896694293</v>
      </c>
      <c r="AS68" s="27">
        <f t="shared" si="43"/>
        <v>1</v>
      </c>
      <c r="AT68" s="25">
        <f t="shared" si="44"/>
        <v>1.006811089968833</v>
      </c>
      <c r="AU68" s="25">
        <f t="shared" si="92"/>
        <v>0.47320121228535145</v>
      </c>
      <c r="AW68" s="25">
        <f t="shared" si="93"/>
        <v>0.6</v>
      </c>
      <c r="AX68" s="25">
        <f aca="true" t="shared" si="134" ref="AX68:AX131">pfsConst*T68^pfsPower</f>
        <v>0.09842636008749096</v>
      </c>
      <c r="AY68" s="25">
        <f t="shared" si="95"/>
        <v>0.4651725850060634</v>
      </c>
      <c r="AZ68" s="25">
        <f aca="true" t="shared" si="135" ref="AZ68:AZ131">(1-AY68)/(1+AX68)</f>
        <v>0.48690329586713205</v>
      </c>
      <c r="BA68" s="25">
        <f aca="true" t="shared" si="136" ref="BA68:BA131">1-AY68-AZ68</f>
        <v>0.047924119126804554</v>
      </c>
      <c r="BB68" s="25">
        <f t="shared" si="96"/>
        <v>0.022677751268511515</v>
      </c>
      <c r="BC68" s="25">
        <f t="shared" si="97"/>
        <v>0.2201202311467799</v>
      </c>
      <c r="BD68" s="25">
        <f t="shared" si="98"/>
        <v>0.23040322987006004</v>
      </c>
      <c r="BG68" s="76">
        <f t="shared" si="116"/>
        <v>31594</v>
      </c>
      <c r="BH68" s="30">
        <f t="shared" si="99"/>
        <v>31</v>
      </c>
      <c r="BI68" s="27">
        <f>'PSP-1 Metdata'!D69</f>
        <v>20.649999618530273</v>
      </c>
      <c r="BJ68" s="28">
        <f>'PSP-1 Metdata'!E69</f>
        <v>26.299999237060547</v>
      </c>
      <c r="BK68" s="28">
        <f>'PSP-1 Metdata'!F69</f>
        <v>15</v>
      </c>
      <c r="BL68" s="28">
        <f>'PSP-1 Metdata'!G69</f>
        <v>0</v>
      </c>
      <c r="BM68" s="28">
        <f>'PSP-1 Metdata'!I69</f>
        <v>27.90258026123047</v>
      </c>
      <c r="BN68" s="28">
        <f>'PSP-1 Metdata'!J69</f>
        <v>0</v>
      </c>
      <c r="BO68" s="28">
        <f>'PSP-1 Metdata'!K69</f>
        <v>0</v>
      </c>
      <c r="BP68" s="25">
        <f>'PSP-1 Metdata'!L69</f>
        <v>34.21061135585212</v>
      </c>
      <c r="BQ68" s="25">
        <f>'PSP-1 Metdata'!M69</f>
        <v>17.05189010686335</v>
      </c>
      <c r="BR68" s="25">
        <f>'PSP-1 Metdata'!N69</f>
        <v>8.579360624494386</v>
      </c>
      <c r="BT68" s="25">
        <f>CZ68</f>
        <v>51987.026278968784</v>
      </c>
      <c r="BU68" s="25">
        <f t="shared" si="100"/>
        <v>339.37759296331797</v>
      </c>
      <c r="BV68" s="25">
        <f t="shared" si="101"/>
        <v>0.2</v>
      </c>
      <c r="BW68" s="25">
        <f t="shared" si="102"/>
        <v>3150.588306900325</v>
      </c>
      <c r="BX68" s="25">
        <f t="shared" si="103"/>
        <v>0.0010695696950990651</v>
      </c>
      <c r="BY68" s="25">
        <f aca="true" t="shared" si="137" ref="BY68:BY131">(1+e_20+BV68/BX68)</f>
        <v>190.1910870852373</v>
      </c>
      <c r="BZ68" s="25">
        <f aca="true" t="shared" si="138" ref="BZ68:BZ131">(e_20*BU68+BW68)/BY68</f>
        <v>20.491070697088034</v>
      </c>
      <c r="CA68" s="27">
        <f>BZ68/lambda*BT68</f>
        <v>0.4330365165909442</v>
      </c>
      <c r="CB68" s="139">
        <f t="shared" si="50"/>
        <v>13.424132014319271</v>
      </c>
      <c r="CD68" s="27">
        <f>IF(CJ67&lt;'DadosReais&amp;Graficos'!MinASW,'DadosReais&amp;Graficos'!MinASW,IF(CJ67&gt;'DadosReais&amp;Graficos'!MaxASW,'DadosReais&amp;Graficos'!MaxASW,CJ67))</f>
        <v>19.17683201832194</v>
      </c>
      <c r="CE68" s="25">
        <f t="shared" si="107"/>
        <v>0</v>
      </c>
      <c r="CG68" s="27">
        <f t="shared" si="108"/>
        <v>19.17683201832194</v>
      </c>
      <c r="CH68" s="27">
        <f t="shared" si="51"/>
        <v>13.424132014319271</v>
      </c>
      <c r="CI68" s="27">
        <f>MAX(CG68-CH68-'DadosReais&amp;Graficos'!MaxASW,0)</f>
        <v>0</v>
      </c>
      <c r="CJ68" s="27">
        <f t="shared" si="63"/>
        <v>5.7527000040026675</v>
      </c>
      <c r="CK68" s="27">
        <f>poolFractn*Month!CI68</f>
        <v>0</v>
      </c>
      <c r="CQ68" s="25">
        <f>SIN(PI()*'DadosReais&amp;Graficos'!Lat/180)</f>
        <v>0.6293203910498374</v>
      </c>
      <c r="CR68" s="25">
        <f>COS(PI()*'DadosReais&amp;Graficos'!Lat/180)</f>
        <v>0.7771459614569709</v>
      </c>
      <c r="CS68" s="25">
        <f aca="true" t="shared" si="139" ref="CS68:CS131">YEAR(A68)</f>
        <v>1986</v>
      </c>
      <c r="CT68" s="29">
        <f t="shared" si="66"/>
        <v>31413</v>
      </c>
      <c r="CU68" s="30">
        <f t="shared" si="52"/>
        <v>7</v>
      </c>
      <c r="CV68" s="27">
        <f t="shared" si="109"/>
        <v>197</v>
      </c>
      <c r="CW68" s="25">
        <f t="shared" si="67"/>
        <v>0.3616269729601193</v>
      </c>
      <c r="CX68" s="25">
        <f aca="true" t="shared" si="140" ref="CX68:CX131">-CW68*CQ68/(CR68*SQRT(1-(CW68)^2))</f>
        <v>-0.3140969275246581</v>
      </c>
      <c r="CY68" s="25">
        <f t="shared" si="68"/>
        <v>0.6017016930436202</v>
      </c>
      <c r="CZ68" s="25">
        <f t="shared" si="69"/>
        <v>51987.026278968784</v>
      </c>
    </row>
    <row r="69" spans="1:104" ht="12.75">
      <c r="A69" s="149">
        <f t="shared" si="111"/>
        <v>31621</v>
      </c>
      <c r="B69" s="60">
        <f aca="true" t="shared" si="141" ref="B69:B132">ROUND(C69,2)</f>
        <v>11.33</v>
      </c>
      <c r="C69" s="78">
        <f aca="true" t="shared" si="142" ref="C69:C132">C68+1/12</f>
        <v>11.33333333333335</v>
      </c>
      <c r="D69" s="171">
        <f t="shared" si="30"/>
        <v>302247.79093046946</v>
      </c>
      <c r="E69" s="30">
        <f t="shared" si="70"/>
        <v>1111</v>
      </c>
      <c r="F69" s="27">
        <f t="shared" si="112"/>
        <v>8.499832811135562</v>
      </c>
      <c r="G69" s="27">
        <f t="shared" si="113"/>
        <v>31.055585890981074</v>
      </c>
      <c r="H69" s="27">
        <f t="shared" si="114"/>
        <v>129.42593847626523</v>
      </c>
      <c r="I69" s="27">
        <f t="shared" si="33"/>
        <v>137.92577128740078</v>
      </c>
      <c r="J69" s="27">
        <f t="shared" si="117"/>
        <v>168.98135717838187</v>
      </c>
      <c r="K69" s="27">
        <f t="shared" si="118"/>
        <v>4.0000045561409525</v>
      </c>
      <c r="L69" s="27">
        <f t="shared" si="119"/>
        <v>3.399936997097861</v>
      </c>
      <c r="M69" s="27">
        <f t="shared" si="120"/>
        <v>6.052356746756002</v>
      </c>
      <c r="O69" s="25">
        <f t="shared" si="74"/>
        <v>0.013</v>
      </c>
      <c r="P69" s="25">
        <f t="shared" si="121"/>
        <v>0.1104978265447623</v>
      </c>
      <c r="Q69" s="25">
        <f t="shared" si="122"/>
        <v>0.31055585890981074</v>
      </c>
      <c r="S69" s="27">
        <f t="shared" si="57"/>
        <v>116.49499412805152</v>
      </c>
      <c r="T69" s="27">
        <f t="shared" si="77"/>
        <v>16.86473626057137</v>
      </c>
      <c r="U69" s="27">
        <f t="shared" si="123"/>
        <v>0.16181175984276436</v>
      </c>
      <c r="V69" s="27">
        <f t="shared" si="124"/>
        <v>0.45</v>
      </c>
      <c r="W69" s="27">
        <f aca="true" t="shared" si="143" ref="W69:W100">H69*(1-U69)/V69</f>
        <v>241.0739991158209</v>
      </c>
      <c r="X69" s="27">
        <f aca="true" t="shared" si="144" ref="X69:X100">W69/C69</f>
        <v>21.27123521610181</v>
      </c>
      <c r="Y69" s="27">
        <f aca="true" t="shared" si="145" ref="Y69:Y100">PI()/4*(T69/100)^2*E69</f>
        <v>24.817786722037884</v>
      </c>
      <c r="AA69" s="24">
        <f aca="true" t="shared" si="146" ref="AA69:AA100">IF(OR(BI69&lt;=Tmin,BI69&gt;=Tmax),0,(BI69-Tmin)/(Topt-Tmin)*((Tmax-BI69)/(Tmax-Topt))^((Tmax-Topt)/(Topt-Tmin)))</f>
        <v>0.948726504843388</v>
      </c>
      <c r="AB69" s="23">
        <f t="shared" si="125"/>
        <v>0.6728012477519082</v>
      </c>
      <c r="AC69" s="23">
        <f>IF('DadosReais&amp;Graficos'!soilClass&gt;0,0.8-0.1*'DadosReais&amp;Graficos'!soilClass,IF('DadosReais&amp;Graficos'!soilClass&lt;0,SWconst0,999))</f>
        <v>0.6000000000000001</v>
      </c>
      <c r="AD69" s="23">
        <f>IF('DadosReais&amp;Graficos'!soilClass&gt;0,11-2*'DadosReais&amp;Graficos'!soilClass,SWpower0)</f>
        <v>7</v>
      </c>
      <c r="AE69" s="24">
        <f>1/(1+((1-CD69/'DadosReais&amp;Graficos'!MaxASW)/AC69)^AD69)</f>
        <v>0.03319869511487439</v>
      </c>
      <c r="AF69" s="24">
        <f t="shared" si="126"/>
        <v>0.6</v>
      </c>
      <c r="AG69" s="27">
        <f t="shared" si="85"/>
        <v>1</v>
      </c>
      <c r="AH69" s="27">
        <f t="shared" si="127"/>
        <v>1</v>
      </c>
      <c r="AI69" s="27">
        <f t="shared" si="128"/>
        <v>0.9967696393444135</v>
      </c>
      <c r="AJ69" s="24">
        <f t="shared" si="129"/>
        <v>0.033091451356358485</v>
      </c>
      <c r="AM69" s="27">
        <f t="shared" si="40"/>
        <v>766.0099716186523</v>
      </c>
      <c r="AN69" s="27">
        <f t="shared" si="130"/>
        <v>1</v>
      </c>
      <c r="AO69" s="27">
        <f t="shared" si="131"/>
        <v>0.817310721060528</v>
      </c>
      <c r="AP69" s="27">
        <f t="shared" si="132"/>
        <v>626.0681622431954</v>
      </c>
      <c r="AQ69" s="27">
        <f t="shared" si="133"/>
        <v>0.0017267105342032138</v>
      </c>
      <c r="AR69" s="27">
        <f t="shared" si="91"/>
        <v>0.0953144214880174</v>
      </c>
      <c r="AS69" s="27">
        <f t="shared" si="43"/>
        <v>1</v>
      </c>
      <c r="AT69" s="25">
        <f t="shared" si="44"/>
        <v>0.5967332469627639</v>
      </c>
      <c r="AU69" s="25">
        <f t="shared" si="92"/>
        <v>0.280464626072499</v>
      </c>
      <c r="AW69" s="25">
        <f t="shared" si="93"/>
        <v>0.6</v>
      </c>
      <c r="AX69" s="25">
        <f t="shared" si="134"/>
        <v>0.09839248098784441</v>
      </c>
      <c r="AY69" s="25">
        <f aca="true" t="shared" si="147" ref="AY69:AY100">pRx*pRn/(pRn+(pRx-pRn)*AJ69*AW69)</f>
        <v>0.47786161199618027</v>
      </c>
      <c r="AZ69" s="25">
        <f t="shared" si="135"/>
        <v>0.47536595255480274</v>
      </c>
      <c r="BA69" s="25">
        <f t="shared" si="136"/>
        <v>0.04677243544901699</v>
      </c>
      <c r="BB69" s="25">
        <f aca="true" t="shared" si="148" ref="BB69:BB100">AU69*BA69</f>
        <v>0.013118013618708648</v>
      </c>
      <c r="BC69" s="25">
        <f aca="true" t="shared" si="149" ref="BC69:BC100">AU69*AY69</f>
        <v>0.1340232783229103</v>
      </c>
      <c r="BD69" s="25">
        <f aca="true" t="shared" si="150" ref="BD69:BD100">AU69*AZ69</f>
        <v>0.13332333413088004</v>
      </c>
      <c r="BG69" s="76">
        <f t="shared" si="116"/>
        <v>31625</v>
      </c>
      <c r="BH69" s="30">
        <f aca="true" t="shared" si="151" ref="BH69:BH100">IF((BG70-BG69)=29,28,(BG70-BG69))</f>
        <v>31</v>
      </c>
      <c r="BI69" s="27">
        <f>'PSP-1 Metdata'!D70</f>
        <v>18.850000381469727</v>
      </c>
      <c r="BJ69" s="28">
        <f>'PSP-1 Metdata'!E70</f>
        <v>24.600000381469727</v>
      </c>
      <c r="BK69" s="28">
        <f>'PSP-1 Metdata'!F70</f>
        <v>13.100000381469727</v>
      </c>
      <c r="BL69" s="28">
        <f>'PSP-1 Metdata'!G70</f>
        <v>3.3599998474121096</v>
      </c>
      <c r="BM69" s="28">
        <f>'PSP-1 Metdata'!I70</f>
        <v>24.709999084472656</v>
      </c>
      <c r="BN69" s="28">
        <f>'PSP-1 Metdata'!J70</f>
        <v>2</v>
      </c>
      <c r="BO69" s="28">
        <f>'PSP-1 Metdata'!K70</f>
        <v>0</v>
      </c>
      <c r="BP69" s="25">
        <f>'PSP-1 Metdata'!L70</f>
        <v>30.926896135105537</v>
      </c>
      <c r="BQ69" s="25">
        <f>'PSP-1 Metdata'!M70</f>
        <v>15.074683504735056</v>
      </c>
      <c r="BR69" s="25">
        <f>'PSP-1 Metdata'!N70</f>
        <v>7.9261063151852404</v>
      </c>
      <c r="BT69" s="25">
        <f t="shared" si="48"/>
        <v>48361.75661678577</v>
      </c>
      <c r="BU69" s="25">
        <f aca="true" t="shared" si="152" ref="BU69:BU100">Qa+Qb*(BM69*10^6/BT69)</f>
        <v>318.75271393092646</v>
      </c>
      <c r="BV69" s="25">
        <f t="shared" si="101"/>
        <v>0.2</v>
      </c>
      <c r="BW69" s="25">
        <f aca="true" t="shared" si="153" ref="BW69:BW100">rhoAir*lambda*(VPDconv*BR69)*BV69</f>
        <v>2910.6945107978977</v>
      </c>
      <c r="BX69" s="25">
        <f aca="true" t="shared" si="154" ref="BX69:BX100">IF(MaxCond*AJ69*MIN(1,L69/LAIgcx)=0,0.0001,MaxCond*AJ69*MIN(1,L69/LAIgcx))</f>
        <v>0.0006618290271271697</v>
      </c>
      <c r="BY69" s="25">
        <f t="shared" si="137"/>
        <v>305.3928501204439</v>
      </c>
      <c r="BZ69" s="25">
        <f t="shared" si="138"/>
        <v>11.827226734422299</v>
      </c>
      <c r="CA69" s="27">
        <f aca="true" t="shared" si="155" ref="CA69:CA131">BZ69/lambda*BT69</f>
        <v>0.23251441495189967</v>
      </c>
      <c r="CB69" s="139">
        <f t="shared" si="50"/>
        <v>7.20794686350889</v>
      </c>
      <c r="CD69" s="27">
        <f>IF(CJ68&lt;'DadosReais&amp;Graficos'!MinASW,'DadosReais&amp;Graficos'!MinASW,IF(CJ68&gt;'DadosReais&amp;Graficos'!MaxASW,'DadosReais&amp;Graficos'!MaxASW,CJ68))</f>
        <v>5.7527000040026675</v>
      </c>
      <c r="CE69" s="25">
        <f aca="true" t="shared" si="156" ref="CE69:CE100">IF(LAImaxIntcptn&lt;=0,BL69*MaxIntcptn,BL69*MaxIntcptn*MIN(1,L69/LAImaxIntcptn))</f>
        <v>0.5039999771118164</v>
      </c>
      <c r="CG69" s="27">
        <f aca="true" t="shared" si="157" ref="CG69:CG100">CD69+BL69+CF69+CK68</f>
        <v>9.112699851414778</v>
      </c>
      <c r="CH69" s="27">
        <f t="shared" si="51"/>
        <v>7.711946840620707</v>
      </c>
      <c r="CI69" s="27">
        <f>MAX(CG69-CH69-'DadosReais&amp;Graficos'!MaxASW,0)</f>
        <v>0</v>
      </c>
      <c r="CJ69" s="27">
        <f t="shared" si="63"/>
        <v>1.4007530107940713</v>
      </c>
      <c r="CK69" s="27">
        <f>poolFractn*Month!CI69</f>
        <v>0</v>
      </c>
      <c r="CQ69" s="25">
        <f>SIN(PI()*'DadosReais&amp;Graficos'!Lat/180)</f>
        <v>0.6293203910498374</v>
      </c>
      <c r="CR69" s="25">
        <f>COS(PI()*'DadosReais&amp;Graficos'!Lat/180)</f>
        <v>0.7771459614569709</v>
      </c>
      <c r="CS69" s="25">
        <f t="shared" si="139"/>
        <v>1986</v>
      </c>
      <c r="CT69" s="29">
        <f t="shared" si="66"/>
        <v>31413</v>
      </c>
      <c r="CU69" s="30">
        <f t="shared" si="52"/>
        <v>8</v>
      </c>
      <c r="CV69" s="27">
        <f aca="true" t="shared" si="158" ref="CV69:CV100">LOOKUP(CU69,CM$5:CM$16,CO$5:CO$16)</f>
        <v>228</v>
      </c>
      <c r="CW69" s="25">
        <f t="shared" si="67"/>
        <v>0.2245322171168967</v>
      </c>
      <c r="CX69" s="25">
        <f t="shared" si="140"/>
        <v>-0.18658678708195917</v>
      </c>
      <c r="CY69" s="25">
        <f t="shared" si="68"/>
        <v>0.5597425534350206</v>
      </c>
      <c r="CZ69" s="25">
        <f t="shared" si="69"/>
        <v>48361.75661678577</v>
      </c>
    </row>
    <row r="70" spans="1:104" ht="12.75">
      <c r="A70" s="149">
        <f aca="true" t="shared" si="159" ref="A70:A101">EDATE(A69,1)</f>
        <v>31652</v>
      </c>
      <c r="B70" s="60">
        <f t="shared" si="141"/>
        <v>11.42</v>
      </c>
      <c r="C70" s="78">
        <f t="shared" si="142"/>
        <v>11.416666666666684</v>
      </c>
      <c r="D70" s="171">
        <f aca="true" t="shared" si="160" ref="D70:D133">EXP(9.7)*(J70/E70)^-1.55</f>
        <v>302637.9740374632</v>
      </c>
      <c r="E70" s="30">
        <f t="shared" si="70"/>
        <v>1111</v>
      </c>
      <c r="F70" s="27">
        <f aca="true" t="shared" si="161" ref="F70:F101">F69+BB69-P69</f>
        <v>8.402452998209508</v>
      </c>
      <c r="G70" s="27">
        <f aca="true" t="shared" si="162" ref="G70:G101">G69+BC69-Q69</f>
        <v>30.879053310394173</v>
      </c>
      <c r="H70" s="27">
        <f aca="true" t="shared" si="163" ref="H70:H101">H69+BD69</f>
        <v>129.55926181039612</v>
      </c>
      <c r="I70" s="27">
        <f aca="true" t="shared" si="164" ref="I70:I133">F70+H70</f>
        <v>137.96171480860562</v>
      </c>
      <c r="J70" s="27">
        <f t="shared" si="117"/>
        <v>168.8407681189998</v>
      </c>
      <c r="K70" s="27">
        <f t="shared" si="118"/>
        <v>4.000003692195761</v>
      </c>
      <c r="L70" s="27">
        <f t="shared" si="119"/>
        <v>3.3609843016339376</v>
      </c>
      <c r="M70" s="27">
        <f t="shared" si="120"/>
        <v>6.1628545733007645</v>
      </c>
      <c r="O70" s="25">
        <f t="shared" si="74"/>
        <v>0.013</v>
      </c>
      <c r="P70" s="25">
        <f t="shared" si="121"/>
        <v>0.1092318889767236</v>
      </c>
      <c r="Q70" s="25">
        <f t="shared" si="122"/>
        <v>0.3087905331039417</v>
      </c>
      <c r="S70" s="27">
        <f t="shared" si="57"/>
        <v>116.61499712906942</v>
      </c>
      <c r="T70" s="27">
        <f t="shared" si="77"/>
        <v>16.871153725945092</v>
      </c>
      <c r="U70" s="27">
        <f t="shared" si="123"/>
        <v>0.16147550196848107</v>
      </c>
      <c r="V70" s="27">
        <f t="shared" si="124"/>
        <v>0.45</v>
      </c>
      <c r="W70" s="27">
        <f t="shared" si="143"/>
        <v>241.419144388659</v>
      </c>
      <c r="X70" s="27">
        <f t="shared" si="144"/>
        <v>21.146202428203676</v>
      </c>
      <c r="Y70" s="27">
        <f t="shared" si="145"/>
        <v>24.8366779263979</v>
      </c>
      <c r="AA70" s="24">
        <f t="shared" si="146"/>
        <v>0.8856662207831195</v>
      </c>
      <c r="AB70" s="23">
        <f t="shared" si="125"/>
        <v>0.709575299570909</v>
      </c>
      <c r="AC70" s="23">
        <f>IF('DadosReais&amp;Graficos'!soilClass&gt;0,0.8-0.1*'DadosReais&amp;Graficos'!soilClass,IF('DadosReais&amp;Graficos'!soilClass&lt;0,SWconst0,999))</f>
        <v>0.6000000000000001</v>
      </c>
      <c r="AD70" s="23">
        <f>IF('DadosReais&amp;Graficos'!soilClass&gt;0,11-2*'DadosReais&amp;Graficos'!soilClass,SWpower0)</f>
        <v>7</v>
      </c>
      <c r="AE70" s="24">
        <f>1/(1+((1-CD70/'DadosReais&amp;Graficos'!MaxASW)/AC70)^AD70)</f>
        <v>0.02856532319403973</v>
      </c>
      <c r="AF70" s="24">
        <f t="shared" si="126"/>
        <v>0.6</v>
      </c>
      <c r="AG70" s="27">
        <f t="shared" si="85"/>
        <v>1</v>
      </c>
      <c r="AH70" s="27">
        <f t="shared" si="127"/>
        <v>1</v>
      </c>
      <c r="AI70" s="27">
        <f t="shared" si="128"/>
        <v>0.9966738951973391</v>
      </c>
      <c r="AJ70" s="24">
        <f t="shared" si="129"/>
        <v>0.02847031193537447</v>
      </c>
      <c r="AM70" s="27">
        <f aca="true" t="shared" si="165" ref="AM70:AM133">BM70*BH70</f>
        <v>505.210018157959</v>
      </c>
      <c r="AN70" s="27">
        <f t="shared" si="130"/>
        <v>1</v>
      </c>
      <c r="AO70" s="27">
        <f t="shared" si="131"/>
        <v>0.8137177254978154</v>
      </c>
      <c r="AP70" s="27">
        <f t="shared" si="132"/>
        <v>411.0983468742044</v>
      </c>
      <c r="AQ70" s="27">
        <f t="shared" si="133"/>
        <v>0.0013868356466975808</v>
      </c>
      <c r="AR70" s="27">
        <f t="shared" si="91"/>
        <v>0.07655332769770645</v>
      </c>
      <c r="AS70" s="27">
        <f aca="true" t="shared" si="166" ref="AS70:AS133">CH70/(CB70+CE70)</f>
        <v>1</v>
      </c>
      <c r="AT70" s="25">
        <f aca="true" t="shared" si="167" ref="AT70:AT133">AR70*AP70/100*AS70</f>
        <v>0.3147094646424637</v>
      </c>
      <c r="AU70" s="25">
        <f t="shared" si="92"/>
        <v>0.1479134483819579</v>
      </c>
      <c r="AW70" s="25">
        <f t="shared" si="93"/>
        <v>0.6</v>
      </c>
      <c r="AX70" s="25">
        <f t="shared" si="134"/>
        <v>0.09837290962509604</v>
      </c>
      <c r="AY70" s="25">
        <f t="shared" si="147"/>
        <v>0.48083468128813267</v>
      </c>
      <c r="AZ70" s="25">
        <f t="shared" si="135"/>
        <v>0.4726676287828988</v>
      </c>
      <c r="BA70" s="25">
        <f t="shared" si="136"/>
        <v>0.04649768992896852</v>
      </c>
      <c r="BB70" s="25">
        <f t="shared" si="148"/>
        <v>0.00687763365918877</v>
      </c>
      <c r="BC70" s="25">
        <f t="shared" si="149"/>
        <v>0.0711219158109674</v>
      </c>
      <c r="BD70" s="25">
        <f t="shared" si="150"/>
        <v>0.06991389891180175</v>
      </c>
      <c r="BG70" s="76">
        <f aca="true" t="shared" si="168" ref="BG70:BG101">EDATE(BG69,1)</f>
        <v>31656</v>
      </c>
      <c r="BH70" s="30">
        <f t="shared" si="151"/>
        <v>30</v>
      </c>
      <c r="BI70" s="27">
        <f>'PSP-1 Metdata'!D71</f>
        <v>20.40000009536743</v>
      </c>
      <c r="BJ70" s="28">
        <f>'PSP-1 Metdata'!E71</f>
        <v>25</v>
      </c>
      <c r="BK70" s="28">
        <f>'PSP-1 Metdata'!F71</f>
        <v>15.800000190734863</v>
      </c>
      <c r="BL70" s="28">
        <f>'PSP-1 Metdata'!G71</f>
        <v>73.04000244140626</v>
      </c>
      <c r="BM70" s="28">
        <f>'PSP-1 Metdata'!I71</f>
        <v>16.840333938598633</v>
      </c>
      <c r="BN70" s="28">
        <f>'PSP-1 Metdata'!J71</f>
        <v>7</v>
      </c>
      <c r="BO70" s="28">
        <f>'PSP-1 Metdata'!K71</f>
        <v>0</v>
      </c>
      <c r="BP70" s="25">
        <f>'PSP-1 Metdata'!L71</f>
        <v>31.673720930966624</v>
      </c>
      <c r="BQ70" s="25">
        <f>'PSP-1 Metdata'!M71</f>
        <v>17.950174629365215</v>
      </c>
      <c r="BR70" s="25">
        <f>'PSP-1 Metdata'!N71</f>
        <v>6.861773150800705</v>
      </c>
      <c r="BT70" s="25">
        <f aca="true" t="shared" si="169" ref="BT70:BT133">CZ70</f>
        <v>43912.27946472623</v>
      </c>
      <c r="BU70" s="25">
        <f t="shared" si="152"/>
        <v>216.79954024479383</v>
      </c>
      <c r="BV70" s="25">
        <f t="shared" si="101"/>
        <v>0.2</v>
      </c>
      <c r="BW70" s="25">
        <f t="shared" si="153"/>
        <v>2519.8407200407623</v>
      </c>
      <c r="BX70" s="25">
        <f t="shared" si="154"/>
        <v>0.0005694062387074894</v>
      </c>
      <c r="BY70" s="25">
        <f t="shared" si="137"/>
        <v>354.4430781474847</v>
      </c>
      <c r="BZ70" s="25">
        <f t="shared" si="138"/>
        <v>8.454953399688996</v>
      </c>
      <c r="CA70" s="27">
        <f t="shared" si="155"/>
        <v>0.1509253156700733</v>
      </c>
      <c r="CB70" s="139">
        <f aca="true" t="shared" si="170" ref="CB70:CB133">CA70*BH70</f>
        <v>4.5277594701021995</v>
      </c>
      <c r="CD70" s="27">
        <f>IF(CJ69&lt;'DadosReais&amp;Graficos'!MinASW,'DadosReais&amp;Graficos'!MinASW,IF(CJ69&gt;'DadosReais&amp;Graficos'!MaxASW,'DadosReais&amp;Graficos'!MaxASW,CJ69))</f>
        <v>1.4007530107940713</v>
      </c>
      <c r="CE70" s="25">
        <f t="shared" si="156"/>
        <v>10.956000366210938</v>
      </c>
      <c r="CG70" s="27">
        <f t="shared" si="157"/>
        <v>74.44075545220034</v>
      </c>
      <c r="CH70" s="27">
        <f aca="true" t="shared" si="171" ref="CH70:CH133">MIN(CG70,CB70+CE70)</f>
        <v>15.483759836313137</v>
      </c>
      <c r="CI70" s="27">
        <f>MAX(CG70-CH70-'DadosReais&amp;Graficos'!MaxASW,0)</f>
        <v>0</v>
      </c>
      <c r="CJ70" s="27">
        <f aca="true" t="shared" si="172" ref="CJ70:CJ133">CG70-CH70-CI70</f>
        <v>58.956995615887195</v>
      </c>
      <c r="CK70" s="27">
        <f>poolFractn*Month!CI70</f>
        <v>0</v>
      </c>
      <c r="CQ70" s="25">
        <f>SIN(PI()*'DadosReais&amp;Graficos'!Lat/180)</f>
        <v>0.6293203910498374</v>
      </c>
      <c r="CR70" s="25">
        <f>COS(PI()*'DadosReais&amp;Graficos'!Lat/180)</f>
        <v>0.7771459614569709</v>
      </c>
      <c r="CS70" s="25">
        <f t="shared" si="139"/>
        <v>1986</v>
      </c>
      <c r="CT70" s="29">
        <f t="shared" si="66"/>
        <v>31413</v>
      </c>
      <c r="CU70" s="30">
        <f aca="true" t="shared" si="173" ref="CU70:CU133">MONTH(BG70)</f>
        <v>9</v>
      </c>
      <c r="CV70" s="27">
        <f t="shared" si="158"/>
        <v>258</v>
      </c>
      <c r="CW70" s="25">
        <f t="shared" si="67"/>
        <v>0.031962948421114835</v>
      </c>
      <c r="CX70" s="25">
        <f t="shared" si="140"/>
        <v>-0.025896316893613495</v>
      </c>
      <c r="CY70" s="25">
        <f t="shared" si="68"/>
        <v>0.5082439752861831</v>
      </c>
      <c r="CZ70" s="25">
        <f t="shared" si="69"/>
        <v>43912.27946472623</v>
      </c>
    </row>
    <row r="71" spans="1:104" ht="12.75">
      <c r="A71" s="149">
        <f t="shared" si="159"/>
        <v>31683</v>
      </c>
      <c r="B71" s="60">
        <f t="shared" si="141"/>
        <v>11.5</v>
      </c>
      <c r="C71" s="78">
        <f t="shared" si="142"/>
        <v>11.500000000000018</v>
      </c>
      <c r="D71" s="171">
        <f t="shared" si="160"/>
        <v>303389.9490834159</v>
      </c>
      <c r="E71" s="30">
        <f t="shared" si="70"/>
        <v>1111</v>
      </c>
      <c r="F71" s="27">
        <f t="shared" si="161"/>
        <v>8.300098742891974</v>
      </c>
      <c r="G71" s="27">
        <f t="shared" si="162"/>
        <v>30.641384693101198</v>
      </c>
      <c r="H71" s="27">
        <f t="shared" si="163"/>
        <v>129.62917570930793</v>
      </c>
      <c r="I71" s="27">
        <f t="shared" si="164"/>
        <v>137.9292744521999</v>
      </c>
      <c r="J71" s="27">
        <f t="shared" si="117"/>
        <v>168.5706591453011</v>
      </c>
      <c r="K71" s="27">
        <f t="shared" si="118"/>
        <v>4.00000298746848</v>
      </c>
      <c r="L71" s="27">
        <f t="shared" si="119"/>
        <v>3.3200419767851272</v>
      </c>
      <c r="M71" s="27">
        <f t="shared" si="120"/>
        <v>6.272086462277488</v>
      </c>
      <c r="O71" s="25">
        <f t="shared" si="74"/>
        <v>0.013</v>
      </c>
      <c r="P71" s="25">
        <f t="shared" si="121"/>
        <v>0.10790128365759566</v>
      </c>
      <c r="Q71" s="25">
        <f t="shared" si="122"/>
        <v>0.306413846931012</v>
      </c>
      <c r="S71" s="27">
        <f aca="true" t="shared" si="174" ref="S71:S134">H71/E71*1000</f>
        <v>116.67792593097023</v>
      </c>
      <c r="T71" s="27">
        <f t="shared" si="77"/>
        <v>16.874517339445752</v>
      </c>
      <c r="U71" s="27">
        <f t="shared" si="123"/>
        <v>0.16114881670315043</v>
      </c>
      <c r="V71" s="27">
        <f t="shared" si="124"/>
        <v>0.45</v>
      </c>
      <c r="W71" s="27">
        <f t="shared" si="143"/>
        <v>241.6435276301071</v>
      </c>
      <c r="X71" s="27">
        <f t="shared" si="144"/>
        <v>21.01248066348754</v>
      </c>
      <c r="Y71" s="27">
        <f t="shared" si="145"/>
        <v>24.846582324680757</v>
      </c>
      <c r="AA71" s="24">
        <f t="shared" si="146"/>
        <v>0.9938420578605264</v>
      </c>
      <c r="AB71" s="23">
        <f t="shared" si="125"/>
        <v>0.7408474693871674</v>
      </c>
      <c r="AC71" s="23">
        <f>IF('DadosReais&amp;Graficos'!soilClass&gt;0,0.8-0.1*'DadosReais&amp;Graficos'!soilClass,IF('DadosReais&amp;Graficos'!soilClass&lt;0,SWconst0,999))</f>
        <v>0.6000000000000001</v>
      </c>
      <c r="AD71" s="23">
        <f>IF('DadosReais&amp;Graficos'!soilClass&gt;0,11-2*'DadosReais&amp;Graficos'!soilClass,SWpower0)</f>
        <v>7</v>
      </c>
      <c r="AE71" s="24">
        <f>1/(1+((1-CD71/'DadosReais&amp;Graficos'!MaxASW)/AC71)^AD71)</f>
        <v>0.24397444780949692</v>
      </c>
      <c r="AF71" s="24">
        <f t="shared" si="126"/>
        <v>0.6</v>
      </c>
      <c r="AG71" s="27">
        <f t="shared" si="85"/>
        <v>1</v>
      </c>
      <c r="AH71" s="27">
        <f t="shared" si="127"/>
        <v>1</v>
      </c>
      <c r="AI71" s="27">
        <f t="shared" si="128"/>
        <v>0.9965760503555675</v>
      </c>
      <c r="AJ71" s="24">
        <f t="shared" si="129"/>
        <v>0.243139091585669</v>
      </c>
      <c r="AM71" s="27">
        <f t="shared" si="165"/>
        <v>430.3799886703491</v>
      </c>
      <c r="AN71" s="27">
        <f t="shared" si="130"/>
        <v>1</v>
      </c>
      <c r="AO71" s="27">
        <f t="shared" si="131"/>
        <v>0.8098650105681564</v>
      </c>
      <c r="AP71" s="27">
        <f t="shared" si="132"/>
        <v>348.54969407283534</v>
      </c>
      <c r="AQ71" s="27">
        <f t="shared" si="133"/>
        <v>0.013290302032031215</v>
      </c>
      <c r="AR71" s="27">
        <f t="shared" si="91"/>
        <v>0.733624672168123</v>
      </c>
      <c r="AS71" s="27">
        <f t="shared" si="166"/>
        <v>1</v>
      </c>
      <c r="AT71" s="25">
        <f t="shared" si="167"/>
        <v>2.557046550484834</v>
      </c>
      <c r="AU71" s="25">
        <f t="shared" si="92"/>
        <v>1.2018118787278718</v>
      </c>
      <c r="AW71" s="25">
        <f t="shared" si="93"/>
        <v>0.6</v>
      </c>
      <c r="AX71" s="25">
        <f t="shared" si="134"/>
        <v>0.09836265613099285</v>
      </c>
      <c r="AY71" s="25">
        <f t="shared" si="147"/>
        <v>0.3730244453169457</v>
      </c>
      <c r="AZ71" s="25">
        <f t="shared" si="135"/>
        <v>0.5708274504630281</v>
      </c>
      <c r="BA71" s="25">
        <f t="shared" si="136"/>
        <v>0.05614810422002625</v>
      </c>
      <c r="BB71" s="25">
        <f t="shared" si="148"/>
        <v>0.06747945861967809</v>
      </c>
      <c r="BC71" s="25">
        <f t="shared" si="149"/>
        <v>0.44830520943778074</v>
      </c>
      <c r="BD71" s="25">
        <f t="shared" si="150"/>
        <v>0.686027210670413</v>
      </c>
      <c r="BG71" s="76">
        <f t="shared" si="168"/>
        <v>31686</v>
      </c>
      <c r="BH71" s="30">
        <f t="shared" si="151"/>
        <v>31</v>
      </c>
      <c r="BI71" s="27">
        <f>'PSP-1 Metdata'!D72</f>
        <v>16.949999809265137</v>
      </c>
      <c r="BJ71" s="28">
        <f>'PSP-1 Metdata'!E72</f>
        <v>21.799999237060547</v>
      </c>
      <c r="BK71" s="28">
        <f>'PSP-1 Metdata'!F72</f>
        <v>12.100000381469727</v>
      </c>
      <c r="BL71" s="28">
        <f>'PSP-1 Metdata'!G72</f>
        <v>28.320001220703126</v>
      </c>
      <c r="BM71" s="28">
        <f>'PSP-1 Metdata'!I72</f>
        <v>13.883225440979004</v>
      </c>
      <c r="BN71" s="28">
        <f>'PSP-1 Metdata'!J72</f>
        <v>6</v>
      </c>
      <c r="BO71" s="28">
        <f>'PSP-1 Metdata'!K72</f>
        <v>0</v>
      </c>
      <c r="BP71" s="25">
        <f>'PSP-1 Metdata'!L72</f>
        <v>26.11566521908016</v>
      </c>
      <c r="BQ71" s="25">
        <f>'PSP-1 Metdata'!M72</f>
        <v>14.117244452811459</v>
      </c>
      <c r="BR71" s="25">
        <f>'PSP-1 Metdata'!N72</f>
        <v>5.999210383134351</v>
      </c>
      <c r="BT71" s="25">
        <f t="shared" si="169"/>
        <v>39224.4387806368</v>
      </c>
      <c r="BU71" s="25">
        <f t="shared" si="152"/>
        <v>193.15460203004818</v>
      </c>
      <c r="BV71" s="25">
        <f t="shared" si="101"/>
        <v>0.2</v>
      </c>
      <c r="BW71" s="25">
        <f t="shared" si="153"/>
        <v>2203.082829945968</v>
      </c>
      <c r="BX71" s="25">
        <f t="shared" si="154"/>
        <v>0.0048482401817527</v>
      </c>
      <c r="BY71" s="25">
        <f t="shared" si="137"/>
        <v>44.452081683729105</v>
      </c>
      <c r="BZ71" s="25">
        <f t="shared" si="138"/>
        <v>59.12035735716772</v>
      </c>
      <c r="CA71" s="27">
        <f t="shared" si="155"/>
        <v>0.9426678202624373</v>
      </c>
      <c r="CB71" s="139">
        <f t="shared" si="170"/>
        <v>29.22270242813556</v>
      </c>
      <c r="CD71" s="27">
        <f>IF(CJ70&lt;'DadosReais&amp;Graficos'!MinASW,'DadosReais&amp;Graficos'!MinASW,IF(CJ70&gt;'DadosReais&amp;Graficos'!MaxASW,'DadosReais&amp;Graficos'!MaxASW,CJ70))</f>
        <v>58.956995615887195</v>
      </c>
      <c r="CE71" s="25">
        <f t="shared" si="156"/>
        <v>4.248000183105469</v>
      </c>
      <c r="CG71" s="27">
        <f t="shared" si="157"/>
        <v>87.27699683659031</v>
      </c>
      <c r="CH71" s="27">
        <f t="shared" si="171"/>
        <v>33.47070261124103</v>
      </c>
      <c r="CI71" s="27">
        <f>MAX(CG71-CH71-'DadosReais&amp;Graficos'!MaxASW,0)</f>
        <v>0</v>
      </c>
      <c r="CJ71" s="27">
        <f t="shared" si="172"/>
        <v>53.80629422534928</v>
      </c>
      <c r="CK71" s="27">
        <f>poolFractn*Month!CI71</f>
        <v>0</v>
      </c>
      <c r="CQ71" s="25">
        <f>SIN(PI()*'DadosReais&amp;Graficos'!Lat/180)</f>
        <v>0.6293203910498374</v>
      </c>
      <c r="CR71" s="25">
        <f>COS(PI()*'DadosReais&amp;Graficos'!Lat/180)</f>
        <v>0.7771459614569709</v>
      </c>
      <c r="CS71" s="25">
        <f t="shared" si="139"/>
        <v>1986</v>
      </c>
      <c r="CT71" s="29">
        <f aca="true" t="shared" si="175" ref="CT71:CT134">DATE(CS71,1,1)</f>
        <v>31413</v>
      </c>
      <c r="CU71" s="30">
        <f t="shared" si="173"/>
        <v>10</v>
      </c>
      <c r="CV71" s="27">
        <f t="shared" si="158"/>
        <v>289</v>
      </c>
      <c r="CW71" s="25">
        <f aca="true" t="shared" si="176" ref="CW71:CW134">0.4*SIN(0.0172*(CV71-80))</f>
        <v>-0.1751405350728837</v>
      </c>
      <c r="CX71" s="25">
        <f t="shared" si="140"/>
        <v>0.14405256542254885</v>
      </c>
      <c r="CY71" s="25">
        <f aca="true" t="shared" si="177" ref="CY71:CY134">IF(CX71&gt;1,0,IF(CX71&lt;-1,1,ACOS(CX71)/PI()))</f>
        <v>0.4539865599610741</v>
      </c>
      <c r="CZ71" s="25">
        <f aca="true" t="shared" si="178" ref="CZ71:CZ134">CY71*86400</f>
        <v>39224.4387806368</v>
      </c>
    </row>
    <row r="72" spans="1:104" ht="12.75">
      <c r="A72" s="149">
        <f t="shared" si="159"/>
        <v>31713</v>
      </c>
      <c r="B72" s="60">
        <f t="shared" si="141"/>
        <v>11.58</v>
      </c>
      <c r="C72" s="78">
        <f t="shared" si="142"/>
        <v>11.583333333333352</v>
      </c>
      <c r="D72" s="171">
        <f t="shared" si="160"/>
        <v>301206.1159267613</v>
      </c>
      <c r="E72" s="30">
        <f aca="true" t="shared" si="179" ref="E72:E135">MIN(D71,E71)</f>
        <v>1111</v>
      </c>
      <c r="F72" s="27">
        <f t="shared" si="161"/>
        <v>8.259676917854057</v>
      </c>
      <c r="G72" s="27">
        <f t="shared" si="162"/>
        <v>30.783276055607967</v>
      </c>
      <c r="H72" s="27">
        <f t="shared" si="163"/>
        <v>130.31520291997833</v>
      </c>
      <c r="I72" s="27">
        <f t="shared" si="164"/>
        <v>138.57487983783238</v>
      </c>
      <c r="J72" s="27">
        <f t="shared" si="117"/>
        <v>169.35815589344037</v>
      </c>
      <c r="K72" s="27">
        <f t="shared" si="118"/>
        <v>4.000002413531596</v>
      </c>
      <c r="L72" s="27">
        <f t="shared" si="119"/>
        <v>3.3038727606407443</v>
      </c>
      <c r="M72" s="27">
        <f t="shared" si="120"/>
        <v>6.379987745935084</v>
      </c>
      <c r="O72" s="25">
        <f t="shared" si="74"/>
        <v>0.013</v>
      </c>
      <c r="P72" s="25">
        <f t="shared" si="121"/>
        <v>0.10737579993210274</v>
      </c>
      <c r="Q72" s="25">
        <f t="shared" si="122"/>
        <v>0.30783276055607967</v>
      </c>
      <c r="S72" s="27">
        <f t="shared" si="174"/>
        <v>117.29541216919742</v>
      </c>
      <c r="T72" s="27">
        <f t="shared" si="77"/>
        <v>16.907462147882892</v>
      </c>
      <c r="U72" s="27">
        <f t="shared" si="123"/>
        <v>0.16083143153317747</v>
      </c>
      <c r="V72" s="27">
        <f t="shared" si="124"/>
        <v>0.45</v>
      </c>
      <c r="W72" s="27">
        <f t="shared" si="143"/>
        <v>243.01427174182604</v>
      </c>
      <c r="X72" s="27">
        <f t="shared" si="144"/>
        <v>20.97964935900653</v>
      </c>
      <c r="Y72" s="27">
        <f t="shared" si="145"/>
        <v>24.943695022876884</v>
      </c>
      <c r="AA72" s="24">
        <f t="shared" si="146"/>
        <v>0.8387741916088589</v>
      </c>
      <c r="AB72" s="23">
        <f t="shared" si="125"/>
        <v>0.7626219872600184</v>
      </c>
      <c r="AC72" s="23">
        <f>IF('DadosReais&amp;Graficos'!soilClass&gt;0,0.8-0.1*'DadosReais&amp;Graficos'!soilClass,IF('DadosReais&amp;Graficos'!soilClass&lt;0,SWconst0,999))</f>
        <v>0.6000000000000001</v>
      </c>
      <c r="AD72" s="23">
        <f>IF('DadosReais&amp;Graficos'!soilClass&gt;0,11-2*'DadosReais&amp;Graficos'!soilClass,SWpower0)</f>
        <v>7</v>
      </c>
      <c r="AE72" s="24">
        <f>1/(1+((1-CD72/'DadosReais&amp;Graficos'!MaxASW)/AC72)^AD72)</f>
        <v>0.20067430662717917</v>
      </c>
      <c r="AF72" s="24">
        <f t="shared" si="126"/>
        <v>0.6</v>
      </c>
      <c r="AG72" s="27">
        <f t="shared" si="85"/>
        <v>1</v>
      </c>
      <c r="AH72" s="27">
        <f t="shared" si="127"/>
        <v>1</v>
      </c>
      <c r="AI72" s="27">
        <f t="shared" si="128"/>
        <v>0.9964760750199197</v>
      </c>
      <c r="AJ72" s="24">
        <f t="shared" si="129"/>
        <v>0.19996714542519536</v>
      </c>
      <c r="AM72" s="27">
        <f t="shared" si="165"/>
        <v>287.81999588012695</v>
      </c>
      <c r="AN72" s="27">
        <f t="shared" si="130"/>
        <v>1</v>
      </c>
      <c r="AO72" s="27">
        <f t="shared" si="131"/>
        <v>0.8083216132229478</v>
      </c>
      <c r="AP72" s="27">
        <f t="shared" si="132"/>
        <v>232.6511233876464</v>
      </c>
      <c r="AQ72" s="27">
        <f t="shared" si="133"/>
        <v>0.009225000441379215</v>
      </c>
      <c r="AR72" s="27">
        <f t="shared" si="91"/>
        <v>0.5092200243641326</v>
      </c>
      <c r="AS72" s="27">
        <f t="shared" si="166"/>
        <v>1</v>
      </c>
      <c r="AT72" s="25">
        <f t="shared" si="167"/>
        <v>1.1847061071980012</v>
      </c>
      <c r="AU72" s="25">
        <f t="shared" si="92"/>
        <v>0.5568118703830606</v>
      </c>
      <c r="AW72" s="25">
        <f t="shared" si="93"/>
        <v>0.6</v>
      </c>
      <c r="AX72" s="25">
        <f t="shared" si="134"/>
        <v>0.09826239287014531</v>
      </c>
      <c r="AY72" s="25">
        <f t="shared" si="147"/>
        <v>0.3906390374931801</v>
      </c>
      <c r="AZ72" s="25">
        <f t="shared" si="135"/>
        <v>0.5548409619256339</v>
      </c>
      <c r="BA72" s="25">
        <f t="shared" si="136"/>
        <v>0.054520000581186</v>
      </c>
      <c r="BB72" s="25">
        <f t="shared" si="148"/>
        <v>0.030357383496895728</v>
      </c>
      <c r="BC72" s="25">
        <f t="shared" si="149"/>
        <v>0.21751245311121611</v>
      </c>
      <c r="BD72" s="25">
        <f t="shared" si="150"/>
        <v>0.3089420337749487</v>
      </c>
      <c r="BG72" s="76">
        <f t="shared" si="168"/>
        <v>31717</v>
      </c>
      <c r="BH72" s="30">
        <f t="shared" si="151"/>
        <v>30</v>
      </c>
      <c r="BI72" s="27">
        <f>'PSP-1 Metdata'!D73</f>
        <v>11.599999904632568</v>
      </c>
      <c r="BJ72" s="28">
        <f>'PSP-1 Metdata'!E73</f>
        <v>17.5</v>
      </c>
      <c r="BK72" s="28">
        <f>'PSP-1 Metdata'!F73</f>
        <v>5.699999809265137</v>
      </c>
      <c r="BL72" s="28">
        <f>'PSP-1 Metdata'!G73</f>
        <v>82.55999755859375</v>
      </c>
      <c r="BM72" s="28">
        <f>'PSP-1 Metdata'!I73</f>
        <v>9.593999862670898</v>
      </c>
      <c r="BN72" s="28">
        <f>'PSP-1 Metdata'!J73</f>
        <v>8</v>
      </c>
      <c r="BO72" s="28">
        <f>'PSP-1 Metdata'!K73</f>
        <v>0</v>
      </c>
      <c r="BP72" s="25">
        <f>'PSP-1 Metdata'!L73</f>
        <v>19.99784134913516</v>
      </c>
      <c r="BQ72" s="25">
        <f>'PSP-1 Metdata'!M73</f>
        <v>9.158129348946959</v>
      </c>
      <c r="BR72" s="25">
        <f>'PSP-1 Metdata'!N73</f>
        <v>5.419856000094101</v>
      </c>
      <c r="BT72" s="25">
        <f t="shared" si="169"/>
        <v>35312.835538885876</v>
      </c>
      <c r="BU72" s="25">
        <f t="shared" si="152"/>
        <v>127.34872810440052</v>
      </c>
      <c r="BV72" s="25">
        <f t="shared" si="101"/>
        <v>0.2</v>
      </c>
      <c r="BW72" s="25">
        <f t="shared" si="153"/>
        <v>1990.3272150873568</v>
      </c>
      <c r="BX72" s="25">
        <f t="shared" si="154"/>
        <v>0.003967963992753089</v>
      </c>
      <c r="BY72" s="25">
        <f t="shared" si="137"/>
        <v>53.60368318998636</v>
      </c>
      <c r="BZ72" s="25">
        <f t="shared" si="138"/>
        <v>42.3570598473574</v>
      </c>
      <c r="CA72" s="27">
        <f t="shared" si="155"/>
        <v>0.6080275968701131</v>
      </c>
      <c r="CB72" s="139">
        <f t="shared" si="170"/>
        <v>18.240827906103394</v>
      </c>
      <c r="CD72" s="27">
        <f>IF(CJ71&lt;'DadosReais&amp;Graficos'!MinASW,'DadosReais&amp;Graficos'!MinASW,IF(CJ71&gt;'DadosReais&amp;Graficos'!MaxASW,'DadosReais&amp;Graficos'!MaxASW,CJ71))</f>
        <v>53.80629422534928</v>
      </c>
      <c r="CE72" s="25">
        <f t="shared" si="156"/>
        <v>12.383999633789061</v>
      </c>
      <c r="CG72" s="27">
        <f t="shared" si="157"/>
        <v>136.36629178394304</v>
      </c>
      <c r="CH72" s="27">
        <f t="shared" si="171"/>
        <v>30.624827539892458</v>
      </c>
      <c r="CI72" s="27">
        <f>MAX(CG72-CH72-'DadosReais&amp;Graficos'!MaxASW,0)</f>
        <v>0</v>
      </c>
      <c r="CJ72" s="27">
        <f t="shared" si="172"/>
        <v>105.74146424405058</v>
      </c>
      <c r="CK72" s="27">
        <f>poolFractn*Month!CI72</f>
        <v>0</v>
      </c>
      <c r="CQ72" s="25">
        <f>SIN(PI()*'DadosReais&amp;Graficos'!Lat/180)</f>
        <v>0.6293203910498374</v>
      </c>
      <c r="CR72" s="25">
        <f>COS(PI()*'DadosReais&amp;Graficos'!Lat/180)</f>
        <v>0.7771459614569709</v>
      </c>
      <c r="CS72" s="25">
        <f t="shared" si="139"/>
        <v>1986</v>
      </c>
      <c r="CT72" s="29">
        <f t="shared" si="175"/>
        <v>31413</v>
      </c>
      <c r="CU72" s="30">
        <f t="shared" si="173"/>
        <v>11</v>
      </c>
      <c r="CV72" s="27">
        <f t="shared" si="158"/>
        <v>319</v>
      </c>
      <c r="CW72" s="25">
        <f t="shared" si="176"/>
        <v>-0.3297749470179898</v>
      </c>
      <c r="CX72" s="25">
        <f t="shared" si="140"/>
        <v>0.2828703751751745</v>
      </c>
      <c r="CY72" s="25">
        <f t="shared" si="177"/>
        <v>0.40871337429266064</v>
      </c>
      <c r="CZ72" s="25">
        <f t="shared" si="178"/>
        <v>35312.835538885876</v>
      </c>
    </row>
    <row r="73" spans="1:104" ht="12.75">
      <c r="A73" s="149">
        <f t="shared" si="159"/>
        <v>31744</v>
      </c>
      <c r="B73" s="60">
        <f t="shared" si="141"/>
        <v>11.67</v>
      </c>
      <c r="C73" s="78">
        <f t="shared" si="142"/>
        <v>11.666666666666686</v>
      </c>
      <c r="D73" s="171">
        <f t="shared" si="160"/>
        <v>300816.1739360854</v>
      </c>
      <c r="E73" s="30">
        <f t="shared" si="179"/>
        <v>1111</v>
      </c>
      <c r="F73" s="27">
        <f t="shared" si="161"/>
        <v>8.18265850141885</v>
      </c>
      <c r="G73" s="27">
        <f t="shared" si="162"/>
        <v>30.692955748163104</v>
      </c>
      <c r="H73" s="27">
        <f t="shared" si="163"/>
        <v>130.62414495375327</v>
      </c>
      <c r="I73" s="27">
        <f t="shared" si="164"/>
        <v>138.80680345517212</v>
      </c>
      <c r="J73" s="27">
        <f t="shared" si="117"/>
        <v>169.49975920333523</v>
      </c>
      <c r="K73" s="27">
        <f t="shared" si="118"/>
        <v>4.000001946855373</v>
      </c>
      <c r="L73" s="27">
        <f t="shared" si="119"/>
        <v>3.273064993612807</v>
      </c>
      <c r="M73" s="27">
        <f t="shared" si="120"/>
        <v>6.487363545867187</v>
      </c>
      <c r="O73" s="25">
        <f t="shared" si="74"/>
        <v>0.013</v>
      </c>
      <c r="P73" s="25">
        <f t="shared" si="121"/>
        <v>0.10637456051844504</v>
      </c>
      <c r="Q73" s="25">
        <f t="shared" si="122"/>
        <v>0.30692955748163103</v>
      </c>
      <c r="S73" s="27">
        <f t="shared" si="174"/>
        <v>117.57348780715867</v>
      </c>
      <c r="T73" s="27">
        <f t="shared" si="77"/>
        <v>16.9222626407772</v>
      </c>
      <c r="U73" s="27">
        <f t="shared" si="123"/>
        <v>0.1605230817029003</v>
      </c>
      <c r="V73" s="27">
        <f t="shared" si="124"/>
        <v>0.45</v>
      </c>
      <c r="W73" s="27">
        <f t="shared" si="143"/>
        <v>243.67989924660097</v>
      </c>
      <c r="X73" s="27">
        <f t="shared" si="144"/>
        <v>20.88684850685148</v>
      </c>
      <c r="Y73" s="27">
        <f t="shared" si="145"/>
        <v>24.98738467471035</v>
      </c>
      <c r="AA73" s="24">
        <f t="shared" si="146"/>
        <v>0.7004989872617372</v>
      </c>
      <c r="AB73" s="23">
        <f t="shared" si="125"/>
        <v>0.8087833695586808</v>
      </c>
      <c r="AC73" s="23">
        <f>IF('DadosReais&amp;Graficos'!soilClass&gt;0,0.8-0.1*'DadosReais&amp;Graficos'!soilClass,IF('DadosReais&amp;Graficos'!soilClass&lt;0,SWconst0,999))</f>
        <v>0.6000000000000001</v>
      </c>
      <c r="AD73" s="23">
        <f>IF('DadosReais&amp;Graficos'!soilClass&gt;0,11-2*'DadosReais&amp;Graficos'!soilClass,SWpower0)</f>
        <v>7</v>
      </c>
      <c r="AE73" s="24">
        <f>1/(1+((1-CD73/'DadosReais&amp;Graficos'!MaxASW)/AC73)^AD73)</f>
        <v>0.8442442125492127</v>
      </c>
      <c r="AF73" s="24">
        <f t="shared" si="126"/>
        <v>0.6</v>
      </c>
      <c r="AG73" s="27">
        <f t="shared" si="85"/>
        <v>1</v>
      </c>
      <c r="AH73" s="27">
        <f t="shared" si="127"/>
        <v>0.7666666666666666</v>
      </c>
      <c r="AI73" s="27">
        <f t="shared" si="128"/>
        <v>0.996373939217231</v>
      </c>
      <c r="AJ73" s="24">
        <f t="shared" si="129"/>
        <v>0.8058506719005684</v>
      </c>
      <c r="AM73" s="27">
        <f t="shared" si="165"/>
        <v>218.11000633239746</v>
      </c>
      <c r="AN73" s="27">
        <f t="shared" si="130"/>
        <v>1</v>
      </c>
      <c r="AO73" s="27">
        <f t="shared" si="131"/>
        <v>0.805346163776782</v>
      </c>
      <c r="AP73" s="27">
        <f t="shared" si="132"/>
        <v>175.65405688112594</v>
      </c>
      <c r="AQ73" s="27">
        <f t="shared" si="133"/>
        <v>0.02380298127104771</v>
      </c>
      <c r="AR73" s="27">
        <f t="shared" si="91"/>
        <v>1.3139245661618335</v>
      </c>
      <c r="AS73" s="27">
        <f t="shared" si="166"/>
        <v>1</v>
      </c>
      <c r="AT73" s="25">
        <f t="shared" si="167"/>
        <v>2.3079618048209944</v>
      </c>
      <c r="AU73" s="25">
        <f t="shared" si="92"/>
        <v>1.0847420482658674</v>
      </c>
      <c r="AW73" s="25">
        <f t="shared" si="93"/>
        <v>0.6</v>
      </c>
      <c r="AX73" s="25">
        <f t="shared" si="134"/>
        <v>0.09821744628344563</v>
      </c>
      <c r="AY73" s="25">
        <f t="shared" si="147"/>
        <v>0.2349413252575691</v>
      </c>
      <c r="AZ73" s="25">
        <f t="shared" si="135"/>
        <v>0.6966367883987997</v>
      </c>
      <c r="BA73" s="25">
        <f t="shared" si="136"/>
        <v>0.06842188634363111</v>
      </c>
      <c r="BB73" s="25">
        <f t="shared" si="148"/>
        <v>0.0742200971386048</v>
      </c>
      <c r="BC73" s="25">
        <f t="shared" si="149"/>
        <v>0.2548507343821929</v>
      </c>
      <c r="BD73" s="25">
        <f t="shared" si="150"/>
        <v>0.7556712167450697</v>
      </c>
      <c r="BG73" s="76">
        <f t="shared" si="168"/>
        <v>31747</v>
      </c>
      <c r="BH73" s="30">
        <f t="shared" si="151"/>
        <v>31</v>
      </c>
      <c r="BI73" s="27">
        <f>'PSP-1 Metdata'!D74</f>
        <v>10.149999856948853</v>
      </c>
      <c r="BJ73" s="28">
        <f>'PSP-1 Metdata'!E74</f>
        <v>15.199999809265137</v>
      </c>
      <c r="BK73" s="28">
        <f>'PSP-1 Metdata'!F74</f>
        <v>5.099999904632568</v>
      </c>
      <c r="BL73" s="28">
        <f>'PSP-1 Metdata'!G74</f>
        <v>60</v>
      </c>
      <c r="BM73" s="28">
        <f>'PSP-1 Metdata'!I74</f>
        <v>7.035806655883789</v>
      </c>
      <c r="BN73" s="28">
        <f>'PSP-1 Metdata'!J74</f>
        <v>9</v>
      </c>
      <c r="BO73" s="28">
        <f>'PSP-1 Metdata'!K74</f>
        <v>7</v>
      </c>
      <c r="BP73" s="25">
        <f>'PSP-1 Metdata'!L74</f>
        <v>17.272682971981894</v>
      </c>
      <c r="BQ73" s="25">
        <f>'PSP-1 Metdata'!M74</f>
        <v>8.783716037648261</v>
      </c>
      <c r="BR73" s="25">
        <f>'PSP-1 Metdata'!N74</f>
        <v>4.244483467166816</v>
      </c>
      <c r="BT73" s="25">
        <f t="shared" si="169"/>
        <v>33294.53956575766</v>
      </c>
      <c r="BU73" s="25">
        <f t="shared" si="152"/>
        <v>79.05610944372117</v>
      </c>
      <c r="BV73" s="25">
        <f t="shared" si="101"/>
        <v>0.2</v>
      </c>
      <c r="BW73" s="25">
        <f t="shared" si="153"/>
        <v>1558.6965702675097</v>
      </c>
      <c r="BX73" s="25">
        <f t="shared" si="154"/>
        <v>0.015841451196859518</v>
      </c>
      <c r="BY73" s="25">
        <f t="shared" si="137"/>
        <v>15.825105965017205</v>
      </c>
      <c r="BZ73" s="25">
        <f t="shared" si="138"/>
        <v>109.48552350131533</v>
      </c>
      <c r="CA73" s="27">
        <f t="shared" si="155"/>
        <v>1.4818171114196068</v>
      </c>
      <c r="CB73" s="139">
        <f t="shared" si="170"/>
        <v>45.93633045400781</v>
      </c>
      <c r="CD73" s="27">
        <f>IF(CJ72&lt;'DadosReais&amp;Graficos'!MinASW,'DadosReais&amp;Graficos'!MinASW,IF(CJ72&gt;'DadosReais&amp;Graficos'!MaxASW,'DadosReais&amp;Graficos'!MaxASW,CJ72))</f>
        <v>105.74146424405058</v>
      </c>
      <c r="CE73" s="25">
        <f t="shared" si="156"/>
        <v>9</v>
      </c>
      <c r="CG73" s="27">
        <f t="shared" si="157"/>
        <v>165.74146424405058</v>
      </c>
      <c r="CH73" s="27">
        <f t="shared" si="171"/>
        <v>54.93633045400781</v>
      </c>
      <c r="CI73" s="27">
        <f>MAX(CG73-CH73-'DadosReais&amp;Graficos'!MaxASW,0)</f>
        <v>0</v>
      </c>
      <c r="CJ73" s="27">
        <f t="shared" si="172"/>
        <v>110.80513379004276</v>
      </c>
      <c r="CK73" s="27">
        <f>poolFractn*Month!CI73</f>
        <v>0</v>
      </c>
      <c r="CQ73" s="25">
        <f>SIN(PI()*'DadosReais&amp;Graficos'!Lat/180)</f>
        <v>0.6293203910498374</v>
      </c>
      <c r="CR73" s="25">
        <f>COS(PI()*'DadosReais&amp;Graficos'!Lat/180)</f>
        <v>0.7771459614569709</v>
      </c>
      <c r="CS73" s="25">
        <f t="shared" si="139"/>
        <v>1986</v>
      </c>
      <c r="CT73" s="29">
        <f t="shared" si="175"/>
        <v>31413</v>
      </c>
      <c r="CU73" s="30">
        <f t="shared" si="173"/>
        <v>12</v>
      </c>
      <c r="CV73" s="27">
        <f t="shared" si="158"/>
        <v>350</v>
      </c>
      <c r="CW73" s="25">
        <f t="shared" si="176"/>
        <v>-0.39906495399591085</v>
      </c>
      <c r="CX73" s="25">
        <f t="shared" si="140"/>
        <v>0.352435862283474</v>
      </c>
      <c r="CY73" s="25">
        <f t="shared" si="177"/>
        <v>0.3853534671962692</v>
      </c>
      <c r="CZ73" s="25">
        <f t="shared" si="178"/>
        <v>33294.53956575766</v>
      </c>
    </row>
    <row r="74" spans="1:104" ht="12.75">
      <c r="A74" s="149">
        <f t="shared" si="159"/>
        <v>31774</v>
      </c>
      <c r="B74" s="60">
        <f t="shared" si="141"/>
        <v>11.75</v>
      </c>
      <c r="C74" s="78">
        <f t="shared" si="142"/>
        <v>11.75000000000002</v>
      </c>
      <c r="D74" s="171">
        <f t="shared" si="160"/>
        <v>298978.4472198812</v>
      </c>
      <c r="E74" s="30">
        <f t="shared" si="179"/>
        <v>1111</v>
      </c>
      <c r="F74" s="27">
        <f t="shared" si="161"/>
        <v>8.15050403803901</v>
      </c>
      <c r="G74" s="27">
        <f t="shared" si="162"/>
        <v>30.640876925063665</v>
      </c>
      <c r="H74" s="27">
        <f t="shared" si="163"/>
        <v>131.37981617049834</v>
      </c>
      <c r="I74" s="27">
        <f t="shared" si="164"/>
        <v>139.53032020853735</v>
      </c>
      <c r="J74" s="27">
        <f t="shared" si="117"/>
        <v>170.17119713360103</v>
      </c>
      <c r="K74" s="27">
        <f t="shared" si="118"/>
        <v>4.000001567997752</v>
      </c>
      <c r="L74" s="27">
        <f t="shared" si="119"/>
        <v>3.260202893212805</v>
      </c>
      <c r="M74" s="27">
        <f t="shared" si="120"/>
        <v>6.593738106385632</v>
      </c>
      <c r="O74" s="25">
        <f t="shared" si="74"/>
        <v>0.013</v>
      </c>
      <c r="P74" s="25">
        <f t="shared" si="121"/>
        <v>0.10595655249450713</v>
      </c>
      <c r="Q74" s="25">
        <f t="shared" si="122"/>
        <v>0.30640876925063665</v>
      </c>
      <c r="S74" s="27">
        <f t="shared" si="174"/>
        <v>118.25365991944045</v>
      </c>
      <c r="T74" s="27">
        <f t="shared" si="77"/>
        <v>16.958371827564083</v>
      </c>
      <c r="U74" s="27">
        <f t="shared" si="123"/>
        <v>0.16022350999373672</v>
      </c>
      <c r="V74" s="27">
        <f t="shared" si="124"/>
        <v>0.45</v>
      </c>
      <c r="W74" s="27">
        <f t="shared" si="143"/>
        <v>245.17706862517602</v>
      </c>
      <c r="X74" s="27">
        <f t="shared" si="144"/>
        <v>20.866133500014946</v>
      </c>
      <c r="Y74" s="27">
        <f t="shared" si="145"/>
        <v>25.094135977219498</v>
      </c>
      <c r="AA74" s="24">
        <f t="shared" si="146"/>
        <v>0.6411605036888329</v>
      </c>
      <c r="AB74" s="23">
        <f t="shared" si="125"/>
        <v>0.8103672191586515</v>
      </c>
      <c r="AC74" s="23">
        <f>IF('DadosReais&amp;Graficos'!soilClass&gt;0,0.8-0.1*'DadosReais&amp;Graficos'!soilClass,IF('DadosReais&amp;Graficos'!soilClass&lt;0,SWconst0,999))</f>
        <v>0.6000000000000001</v>
      </c>
      <c r="AD74" s="23">
        <f>IF('DadosReais&amp;Graficos'!soilClass&gt;0,11-2*'DadosReais&amp;Graficos'!soilClass,SWpower0)</f>
        <v>7</v>
      </c>
      <c r="AE74" s="24">
        <f>1/(1+((1-CD74/'DadosReais&amp;Graficos'!MaxASW)/AC74)^AD74)</f>
        <v>0.8886156342061713</v>
      </c>
      <c r="AF74" s="24">
        <f t="shared" si="126"/>
        <v>0.6</v>
      </c>
      <c r="AG74" s="27">
        <f t="shared" si="85"/>
        <v>1</v>
      </c>
      <c r="AH74" s="27">
        <f t="shared" si="127"/>
        <v>0.7333333333333334</v>
      </c>
      <c r="AI74" s="27">
        <f t="shared" si="128"/>
        <v>0.9962696128018763</v>
      </c>
      <c r="AJ74" s="24">
        <f t="shared" si="129"/>
        <v>0.807344235658523</v>
      </c>
      <c r="AM74" s="27">
        <f t="shared" si="165"/>
        <v>223.79000091552734</v>
      </c>
      <c r="AN74" s="27">
        <f t="shared" si="130"/>
        <v>1</v>
      </c>
      <c r="AO74" s="27">
        <f t="shared" si="131"/>
        <v>0.8040903012553177</v>
      </c>
      <c r="AP74" s="27">
        <f t="shared" si="132"/>
        <v>179.94736925409418</v>
      </c>
      <c r="AQ74" s="27">
        <f t="shared" si="133"/>
        <v>0.02087803521699881</v>
      </c>
      <c r="AR74" s="27">
        <f t="shared" si="91"/>
        <v>1.1524675439783343</v>
      </c>
      <c r="AS74" s="27">
        <f t="shared" si="166"/>
        <v>1</v>
      </c>
      <c r="AT74" s="25">
        <f t="shared" si="167"/>
        <v>2.0738350268962837</v>
      </c>
      <c r="AU74" s="25">
        <f t="shared" si="92"/>
        <v>0.9747024626412533</v>
      </c>
      <c r="AW74" s="25">
        <f t="shared" si="93"/>
        <v>0.6</v>
      </c>
      <c r="AX74" s="25">
        <f t="shared" si="134"/>
        <v>0.09810803957255572</v>
      </c>
      <c r="AY74" s="25">
        <f t="shared" si="147"/>
        <v>0.23471071738299137</v>
      </c>
      <c r="AZ74" s="25">
        <f t="shared" si="135"/>
        <v>0.6969162004449957</v>
      </c>
      <c r="BA74" s="25">
        <f t="shared" si="136"/>
        <v>0.06837308217201288</v>
      </c>
      <c r="BB74" s="25">
        <f t="shared" si="148"/>
        <v>0.06664341157143372</v>
      </c>
      <c r="BC74" s="25">
        <f t="shared" si="149"/>
        <v>0.2287731142414969</v>
      </c>
      <c r="BD74" s="25">
        <f t="shared" si="150"/>
        <v>0.6792859368283226</v>
      </c>
      <c r="BG74" s="76">
        <f t="shared" si="168"/>
        <v>31778</v>
      </c>
      <c r="BH74" s="30">
        <f t="shared" si="151"/>
        <v>31</v>
      </c>
      <c r="BI74" s="27">
        <f>'PSP-1 Metdata'!D75</f>
        <v>9.650000095367432</v>
      </c>
      <c r="BJ74" s="28">
        <f>'PSP-1 Metdata'!E75</f>
        <v>14.800000190734863</v>
      </c>
      <c r="BK74" s="28">
        <f>'PSP-1 Metdata'!F75</f>
        <v>4.5</v>
      </c>
      <c r="BL74" s="28">
        <f>'PSP-1 Metdata'!G75</f>
        <v>90.32000122070313</v>
      </c>
      <c r="BM74" s="28">
        <f>'PSP-1 Metdata'!I75</f>
        <v>7.219032287597656</v>
      </c>
      <c r="BN74" s="28">
        <f>'PSP-1 Metdata'!J75</f>
        <v>13</v>
      </c>
      <c r="BO74" s="28">
        <f>'PSP-1 Metdata'!K75</f>
        <v>8</v>
      </c>
      <c r="BP74" s="25">
        <f>'PSP-1 Metdata'!L75</f>
        <v>16.833575963888826</v>
      </c>
      <c r="BQ74" s="25">
        <f>'PSP-1 Metdata'!M75</f>
        <v>8.422864881293139</v>
      </c>
      <c r="BR74" s="25">
        <f>'PSP-1 Metdata'!N75</f>
        <v>4.205355541297844</v>
      </c>
      <c r="BT74" s="25">
        <f t="shared" si="169"/>
        <v>34557.10261977032</v>
      </c>
      <c r="BU74" s="25">
        <f t="shared" si="152"/>
        <v>77.1212396948489</v>
      </c>
      <c r="BV74" s="25">
        <f t="shared" si="101"/>
        <v>0.2</v>
      </c>
      <c r="BW74" s="25">
        <f t="shared" si="153"/>
        <v>1544.327669004158</v>
      </c>
      <c r="BX74" s="25">
        <f t="shared" si="154"/>
        <v>0.015808444521997582</v>
      </c>
      <c r="BY74" s="25">
        <f t="shared" si="137"/>
        <v>15.851466102290985</v>
      </c>
      <c r="BZ74" s="25">
        <f t="shared" si="138"/>
        <v>108.12844599182563</v>
      </c>
      <c r="CA74" s="27">
        <f t="shared" si="155"/>
        <v>1.518945448884476</v>
      </c>
      <c r="CB74" s="139">
        <f t="shared" si="170"/>
        <v>47.08730891541876</v>
      </c>
      <c r="CD74" s="27">
        <f>IF(CJ73&lt;'DadosReais&amp;Graficos'!MinASW,'DadosReais&amp;Graficos'!MinASW,IF(CJ73&gt;'DadosReais&amp;Graficos'!MaxASW,'DadosReais&amp;Graficos'!MaxASW,CJ73))</f>
        <v>110.80513379004276</v>
      </c>
      <c r="CE74" s="25">
        <f t="shared" si="156"/>
        <v>13.54800018310547</v>
      </c>
      <c r="CG74" s="27">
        <f t="shared" si="157"/>
        <v>201.1251350107459</v>
      </c>
      <c r="CH74" s="27">
        <f t="shared" si="171"/>
        <v>60.63530909852423</v>
      </c>
      <c r="CI74" s="27">
        <f>MAX(CG74-CH74-'DadosReais&amp;Graficos'!MaxASW,0)</f>
        <v>0</v>
      </c>
      <c r="CJ74" s="27">
        <f t="shared" si="172"/>
        <v>140.48982591222168</v>
      </c>
      <c r="CK74" s="27">
        <f>poolFractn*Month!CI74</f>
        <v>0</v>
      </c>
      <c r="CQ74" s="25">
        <f>SIN(PI()*'DadosReais&amp;Graficos'!Lat/180)</f>
        <v>0.6293203910498374</v>
      </c>
      <c r="CR74" s="25">
        <f>COS(PI()*'DadosReais&amp;Graficos'!Lat/180)</f>
        <v>0.7771459614569709</v>
      </c>
      <c r="CS74" s="25">
        <f t="shared" si="139"/>
        <v>1986</v>
      </c>
      <c r="CT74" s="29">
        <f t="shared" si="175"/>
        <v>31413</v>
      </c>
      <c r="CU74" s="30">
        <f t="shared" si="173"/>
        <v>1</v>
      </c>
      <c r="CV74" s="27">
        <f t="shared" si="158"/>
        <v>16</v>
      </c>
      <c r="CW74" s="25">
        <f t="shared" si="176"/>
        <v>-0.3566279806934116</v>
      </c>
      <c r="CX74" s="25">
        <f t="shared" si="140"/>
        <v>0.30911718809788097</v>
      </c>
      <c r="CY74" s="25">
        <f t="shared" si="177"/>
        <v>0.39996646550660087</v>
      </c>
      <c r="CZ74" s="25">
        <f t="shared" si="178"/>
        <v>34557.10261977032</v>
      </c>
    </row>
    <row r="75" spans="1:104" ht="12.75">
      <c r="A75" s="149">
        <f t="shared" si="159"/>
        <v>31805</v>
      </c>
      <c r="B75" s="60">
        <f t="shared" si="141"/>
        <v>11.83</v>
      </c>
      <c r="C75" s="78">
        <f t="shared" si="142"/>
        <v>11.833333333333353</v>
      </c>
      <c r="D75" s="171">
        <f t="shared" si="160"/>
        <v>297453.49660011387</v>
      </c>
      <c r="E75" s="30">
        <f t="shared" si="179"/>
        <v>1111</v>
      </c>
      <c r="F75" s="27">
        <f t="shared" si="161"/>
        <v>8.111190897115936</v>
      </c>
      <c r="G75" s="27">
        <f t="shared" si="162"/>
        <v>30.563241270054526</v>
      </c>
      <c r="H75" s="27">
        <f t="shared" si="163"/>
        <v>132.05910210732668</v>
      </c>
      <c r="I75" s="27">
        <f t="shared" si="164"/>
        <v>140.1702930044426</v>
      </c>
      <c r="J75" s="27">
        <f t="shared" si="117"/>
        <v>170.73353427449715</v>
      </c>
      <c r="K75" s="27">
        <f t="shared" si="118"/>
        <v>4.000001260922011</v>
      </c>
      <c r="L75" s="27">
        <f t="shared" si="119"/>
        <v>3.2444773816042884</v>
      </c>
      <c r="M75" s="27">
        <f t="shared" si="120"/>
        <v>6.699694658880139</v>
      </c>
      <c r="O75" s="25">
        <f t="shared" si="74"/>
        <v>0.013</v>
      </c>
      <c r="P75" s="25">
        <f t="shared" si="121"/>
        <v>0.10544548166250717</v>
      </c>
      <c r="Q75" s="25">
        <f t="shared" si="122"/>
        <v>0.30563241270054525</v>
      </c>
      <c r="S75" s="27">
        <f t="shared" si="174"/>
        <v>118.86507840443446</v>
      </c>
      <c r="T75" s="27">
        <f t="shared" si="77"/>
        <v>16.990719406689397</v>
      </c>
      <c r="U75" s="27">
        <f t="shared" si="123"/>
        <v>0.15993246650961832</v>
      </c>
      <c r="V75" s="27">
        <f t="shared" si="124"/>
        <v>0.45</v>
      </c>
      <c r="W75" s="27">
        <f t="shared" si="143"/>
        <v>246.53014262723642</v>
      </c>
      <c r="X75" s="27">
        <f t="shared" si="144"/>
        <v>20.833533179766423</v>
      </c>
      <c r="Y75" s="27">
        <f t="shared" si="145"/>
        <v>25.189959884946443</v>
      </c>
      <c r="AA75" s="24">
        <f t="shared" si="146"/>
        <v>0.7486596707821628</v>
      </c>
      <c r="AB75" s="23">
        <f t="shared" si="125"/>
        <v>0.8203262572612563</v>
      </c>
      <c r="AC75" s="23">
        <f>IF('DadosReais&amp;Graficos'!soilClass&gt;0,0.8-0.1*'DadosReais&amp;Graficos'!soilClass,IF('DadosReais&amp;Graficos'!soilClass&lt;0,SWconst0,999))</f>
        <v>0.6000000000000001</v>
      </c>
      <c r="AD75" s="23">
        <f>IF('DadosReais&amp;Graficos'!soilClass&gt;0,11-2*'DadosReais&amp;Graficos'!soilClass,SWpower0)</f>
        <v>7</v>
      </c>
      <c r="AE75" s="24">
        <f>1/(1+((1-CD75/'DadosReais&amp;Graficos'!MaxASW)/AC75)^AD75)</f>
        <v>0.9926771883348537</v>
      </c>
      <c r="AF75" s="24">
        <f t="shared" si="126"/>
        <v>0.6</v>
      </c>
      <c r="AG75" s="27">
        <f t="shared" si="85"/>
        <v>1</v>
      </c>
      <c r="AH75" s="27">
        <f t="shared" si="127"/>
        <v>0.9</v>
      </c>
      <c r="AI75" s="27">
        <f t="shared" si="128"/>
        <v>0.9961630654573249</v>
      </c>
      <c r="AJ75" s="24">
        <f t="shared" si="129"/>
        <v>0.8171787191085073</v>
      </c>
      <c r="AM75" s="27">
        <f t="shared" si="165"/>
        <v>273.18999099731445</v>
      </c>
      <c r="AN75" s="27">
        <f t="shared" si="130"/>
        <v>1</v>
      </c>
      <c r="AO75" s="27">
        <f t="shared" si="131"/>
        <v>0.8025438393755672</v>
      </c>
      <c r="AP75" s="27">
        <f t="shared" si="132"/>
        <v>219.24694425396137</v>
      </c>
      <c r="AQ75" s="27">
        <f t="shared" si="133"/>
        <v>0.030283543165489247</v>
      </c>
      <c r="AR75" s="27">
        <f t="shared" si="91"/>
        <v>1.6716515827350062</v>
      </c>
      <c r="AS75" s="27">
        <f t="shared" si="166"/>
        <v>1</v>
      </c>
      <c r="AT75" s="25">
        <f t="shared" si="167"/>
        <v>3.665045013719482</v>
      </c>
      <c r="AU75" s="25">
        <f t="shared" si="92"/>
        <v>1.7225711564481565</v>
      </c>
      <c r="AW75" s="25">
        <f t="shared" si="93"/>
        <v>0.6</v>
      </c>
      <c r="AX75" s="25">
        <f t="shared" si="134"/>
        <v>0.09801033092758506</v>
      </c>
      <c r="AY75" s="25">
        <f t="shared" si="147"/>
        <v>0.23320349422109193</v>
      </c>
      <c r="AZ75" s="25">
        <f t="shared" si="135"/>
        <v>0.6983509027015513</v>
      </c>
      <c r="BA75" s="25">
        <f t="shared" si="136"/>
        <v>0.06844560307735681</v>
      </c>
      <c r="BB75" s="25">
        <f t="shared" si="148"/>
        <v>0.11790242164675402</v>
      </c>
      <c r="BC75" s="25">
        <f t="shared" si="149"/>
        <v>0.4017096127281773</v>
      </c>
      <c r="BD75" s="25">
        <f t="shared" si="150"/>
        <v>1.2029591220732252</v>
      </c>
      <c r="BG75" s="76">
        <f t="shared" si="168"/>
        <v>31809</v>
      </c>
      <c r="BH75" s="30">
        <f t="shared" si="151"/>
        <v>28</v>
      </c>
      <c r="BI75" s="27">
        <f>'PSP-1 Metdata'!D76</f>
        <v>10.599999904632568</v>
      </c>
      <c r="BJ75" s="28">
        <f>'PSP-1 Metdata'!E76</f>
        <v>15.199999809265137</v>
      </c>
      <c r="BK75" s="28">
        <f>'PSP-1 Metdata'!F76</f>
        <v>6</v>
      </c>
      <c r="BL75" s="28">
        <f>'PSP-1 Metdata'!G76</f>
        <v>101.2</v>
      </c>
      <c r="BM75" s="28">
        <f>'PSP-1 Metdata'!I76</f>
        <v>9.75678539276123</v>
      </c>
      <c r="BN75" s="28">
        <f>'PSP-1 Metdata'!J76</f>
        <v>14</v>
      </c>
      <c r="BO75" s="28">
        <f>'PSP-1 Metdata'!K76</f>
        <v>3</v>
      </c>
      <c r="BP75" s="25">
        <f>'PSP-1 Metdata'!L76</f>
        <v>17.272682971981894</v>
      </c>
      <c r="BQ75" s="25">
        <f>'PSP-1 Metdata'!M76</f>
        <v>9.350557246136205</v>
      </c>
      <c r="BR75" s="25">
        <f>'PSP-1 Metdata'!N76</f>
        <v>3.9610628629228444</v>
      </c>
      <c r="BT75" s="25">
        <f t="shared" si="169"/>
        <v>37850.90307676919</v>
      </c>
      <c r="BU75" s="25">
        <f t="shared" si="152"/>
        <v>116.21511456088689</v>
      </c>
      <c r="BV75" s="25">
        <f t="shared" si="101"/>
        <v>0.2</v>
      </c>
      <c r="BW75" s="25">
        <f t="shared" si="153"/>
        <v>1454.616361875721</v>
      </c>
      <c r="BX75" s="25">
        <f t="shared" si="154"/>
        <v>0.01592383105631181</v>
      </c>
      <c r="BY75" s="25">
        <f t="shared" si="137"/>
        <v>15.759791628831994</v>
      </c>
      <c r="BZ75" s="25">
        <f t="shared" si="138"/>
        <v>108.52234941867863</v>
      </c>
      <c r="CA75" s="27">
        <f t="shared" si="155"/>
        <v>1.6697841176868633</v>
      </c>
      <c r="CB75" s="139">
        <f t="shared" si="170"/>
        <v>46.753955295232174</v>
      </c>
      <c r="CD75" s="27">
        <f>IF(CJ74&lt;'DadosReais&amp;Graficos'!MinASW,'DadosReais&amp;Graficos'!MinASW,IF(CJ74&gt;'DadosReais&amp;Graficos'!MaxASW,'DadosReais&amp;Graficos'!MaxASW,CJ74))</f>
        <v>140.48982591222168</v>
      </c>
      <c r="CE75" s="25">
        <f t="shared" si="156"/>
        <v>15.18</v>
      </c>
      <c r="CG75" s="27">
        <f t="shared" si="157"/>
        <v>241.6898259122217</v>
      </c>
      <c r="CH75" s="27">
        <f t="shared" si="171"/>
        <v>61.933955295232174</v>
      </c>
      <c r="CI75" s="27">
        <f>MAX(CG75-CH75-'DadosReais&amp;Graficos'!MaxASW,0)</f>
        <v>0</v>
      </c>
      <c r="CJ75" s="27">
        <f t="shared" si="172"/>
        <v>179.7558706169895</v>
      </c>
      <c r="CK75" s="27">
        <f>poolFractn*Month!CI75</f>
        <v>0</v>
      </c>
      <c r="CQ75" s="25">
        <f>SIN(PI()*'DadosReais&amp;Graficos'!Lat/180)</f>
        <v>0.6293203910498374</v>
      </c>
      <c r="CR75" s="25">
        <f>COS(PI()*'DadosReais&amp;Graficos'!Lat/180)</f>
        <v>0.7771459614569709</v>
      </c>
      <c r="CS75" s="25">
        <f t="shared" si="139"/>
        <v>1987</v>
      </c>
      <c r="CT75" s="29">
        <f t="shared" si="175"/>
        <v>31778</v>
      </c>
      <c r="CU75" s="30">
        <f t="shared" si="173"/>
        <v>2</v>
      </c>
      <c r="CV75" s="27">
        <f t="shared" si="158"/>
        <v>44</v>
      </c>
      <c r="CW75" s="25">
        <f t="shared" si="176"/>
        <v>-0.2321535487640738</v>
      </c>
      <c r="CX75" s="25">
        <f t="shared" si="140"/>
        <v>0.19327466507755395</v>
      </c>
      <c r="CY75" s="25">
        <f t="shared" si="177"/>
        <v>0.43808915598112486</v>
      </c>
      <c r="CZ75" s="25">
        <f t="shared" si="178"/>
        <v>37850.90307676919</v>
      </c>
    </row>
    <row r="76" spans="1:104" ht="12.75">
      <c r="A76" s="149">
        <f t="shared" si="159"/>
        <v>31836</v>
      </c>
      <c r="B76" s="60">
        <f t="shared" si="141"/>
        <v>11.92</v>
      </c>
      <c r="C76" s="78">
        <f t="shared" si="142"/>
        <v>11.916666666666687</v>
      </c>
      <c r="D76" s="171">
        <f t="shared" si="160"/>
        <v>293946.28236398974</v>
      </c>
      <c r="E76" s="30">
        <f t="shared" si="179"/>
        <v>1111</v>
      </c>
      <c r="F76" s="27">
        <f t="shared" si="161"/>
        <v>8.123647837100183</v>
      </c>
      <c r="G76" s="27">
        <f t="shared" si="162"/>
        <v>30.659318470082155</v>
      </c>
      <c r="H76" s="27">
        <f t="shared" si="163"/>
        <v>133.2620612293999</v>
      </c>
      <c r="I76" s="27">
        <f t="shared" si="164"/>
        <v>141.38570906650008</v>
      </c>
      <c r="J76" s="27">
        <f t="shared" si="117"/>
        <v>172.04502753658224</v>
      </c>
      <c r="K76" s="27">
        <f t="shared" si="118"/>
        <v>4.000001012423135</v>
      </c>
      <c r="L76" s="27">
        <f t="shared" si="119"/>
        <v>3.249459957296974</v>
      </c>
      <c r="M76" s="27">
        <f t="shared" si="120"/>
        <v>6.805140140542646</v>
      </c>
      <c r="O76" s="25">
        <f t="shared" si="74"/>
        <v>0.013</v>
      </c>
      <c r="P76" s="25">
        <f t="shared" si="121"/>
        <v>0.10560742188230238</v>
      </c>
      <c r="Q76" s="25">
        <f t="shared" si="122"/>
        <v>0.3065931847008216</v>
      </c>
      <c r="S76" s="27">
        <f t="shared" si="174"/>
        <v>119.94784989144907</v>
      </c>
      <c r="T76" s="27">
        <f t="shared" si="77"/>
        <v>17.047747867829145</v>
      </c>
      <c r="U76" s="27">
        <f t="shared" si="123"/>
        <v>0.15964970846853266</v>
      </c>
      <c r="V76" s="27">
        <f t="shared" si="124"/>
        <v>0.45</v>
      </c>
      <c r="W76" s="27">
        <f t="shared" si="143"/>
        <v>248.8595822315788</v>
      </c>
      <c r="X76" s="27">
        <f t="shared" si="144"/>
        <v>20.883321585866717</v>
      </c>
      <c r="Y76" s="27">
        <f t="shared" si="145"/>
        <v>25.359341234548072</v>
      </c>
      <c r="AA76" s="24">
        <f t="shared" si="146"/>
        <v>0.9286757138557411</v>
      </c>
      <c r="AB76" s="23">
        <f t="shared" si="125"/>
        <v>0.7455014319799347</v>
      </c>
      <c r="AC76" s="23">
        <f>IF('DadosReais&amp;Graficos'!soilClass&gt;0,0.8-0.1*'DadosReais&amp;Graficos'!soilClass,IF('DadosReais&amp;Graficos'!soilClass&lt;0,SWconst0,999))</f>
        <v>0.6000000000000001</v>
      </c>
      <c r="AD76" s="23">
        <f>IF('DadosReais&amp;Graficos'!soilClass&gt;0,11-2*'DadosReais&amp;Graficos'!soilClass,SWpower0)</f>
        <v>7</v>
      </c>
      <c r="AE76" s="24">
        <f>1/(1+((1-CD76/'DadosReais&amp;Graficos'!MaxASW)/AC76)^AD76)</f>
        <v>0.999996111130956</v>
      </c>
      <c r="AF76" s="24">
        <f t="shared" si="126"/>
        <v>0.6</v>
      </c>
      <c r="AG76" s="27">
        <f t="shared" si="85"/>
        <v>1</v>
      </c>
      <c r="AH76" s="27">
        <f t="shared" si="127"/>
        <v>0.9666666666666667</v>
      </c>
      <c r="AI76" s="27">
        <f t="shared" si="128"/>
        <v>0.9960542666977276</v>
      </c>
      <c r="AJ76" s="24">
        <f t="shared" si="129"/>
        <v>0.7425598821528797</v>
      </c>
      <c r="AM76" s="27">
        <f t="shared" si="165"/>
        <v>497.330020904541</v>
      </c>
      <c r="AN76" s="27">
        <f t="shared" si="130"/>
        <v>1</v>
      </c>
      <c r="AO76" s="27">
        <f t="shared" si="131"/>
        <v>0.8030351472599266</v>
      </c>
      <c r="AP76" s="27">
        <f t="shared" si="132"/>
        <v>399.3734865738605</v>
      </c>
      <c r="AQ76" s="27">
        <f t="shared" si="133"/>
        <v>0.0366635913059714</v>
      </c>
      <c r="AR76" s="27">
        <f t="shared" si="91"/>
        <v>2.0238302400896213</v>
      </c>
      <c r="AS76" s="27">
        <f t="shared" si="166"/>
        <v>1</v>
      </c>
      <c r="AT76" s="25">
        <f t="shared" si="167"/>
        <v>8.082641392182051</v>
      </c>
      <c r="AU76" s="25">
        <f t="shared" si="92"/>
        <v>3.7988414543255637</v>
      </c>
      <c r="AW76" s="25">
        <f t="shared" si="93"/>
        <v>0.6</v>
      </c>
      <c r="AX76" s="25">
        <f t="shared" si="134"/>
        <v>0.09783875968376005</v>
      </c>
      <c r="AY76" s="25">
        <f t="shared" si="147"/>
        <v>0.2451480500170566</v>
      </c>
      <c r="AZ76" s="25">
        <f t="shared" si="135"/>
        <v>0.6875799777741347</v>
      </c>
      <c r="BA76" s="25">
        <f t="shared" si="136"/>
        <v>0.06727197220880865</v>
      </c>
      <c r="BB76" s="25">
        <f t="shared" si="148"/>
        <v>0.25555555674105956</v>
      </c>
      <c r="BC76" s="25">
        <f t="shared" si="149"/>
        <v>0.9312785748518714</v>
      </c>
      <c r="BD76" s="25">
        <f t="shared" si="150"/>
        <v>2.612007322732633</v>
      </c>
      <c r="BG76" s="76">
        <f t="shared" si="168"/>
        <v>31837</v>
      </c>
      <c r="BH76" s="30">
        <f t="shared" si="151"/>
        <v>31</v>
      </c>
      <c r="BI76" s="27">
        <f>'PSP-1 Metdata'!D77</f>
        <v>12.999999761581421</v>
      </c>
      <c r="BJ76" s="28">
        <f>'PSP-1 Metdata'!E77</f>
        <v>18.899999618530273</v>
      </c>
      <c r="BK76" s="28">
        <f>'PSP-1 Metdata'!F77</f>
        <v>7.099999904632568</v>
      </c>
      <c r="BL76" s="28">
        <f>'PSP-1 Metdata'!G77</f>
        <v>45.52000122070313</v>
      </c>
      <c r="BM76" s="28">
        <f>'PSP-1 Metdata'!I77</f>
        <v>16.042903900146484</v>
      </c>
      <c r="BN76" s="28">
        <f>'PSP-1 Metdata'!J77</f>
        <v>9</v>
      </c>
      <c r="BO76" s="28">
        <f>'PSP-1 Metdata'!K77</f>
        <v>1</v>
      </c>
      <c r="BP76" s="25">
        <f>'PSP-1 Metdata'!L77</f>
        <v>21.834892027836773</v>
      </c>
      <c r="BQ76" s="25">
        <f>'PSP-1 Metdata'!M77</f>
        <v>10.086963069931985</v>
      </c>
      <c r="BR76" s="25">
        <f>'PSP-1 Metdata'!N77</f>
        <v>5.873964478952394</v>
      </c>
      <c r="BT76" s="25">
        <f t="shared" si="169"/>
        <v>42434.28237611158</v>
      </c>
      <c r="BU76" s="25">
        <f t="shared" si="152"/>
        <v>212.45175366373775</v>
      </c>
      <c r="BV76" s="25">
        <f t="shared" si="101"/>
        <v>0.2</v>
      </c>
      <c r="BW76" s="25">
        <f t="shared" si="153"/>
        <v>2157.088926848313</v>
      </c>
      <c r="BX76" s="25">
        <f t="shared" si="154"/>
        <v>0.014492003621326983</v>
      </c>
      <c r="BY76" s="25">
        <f t="shared" si="137"/>
        <v>17.000714188731806</v>
      </c>
      <c r="BZ76" s="25">
        <f t="shared" si="138"/>
        <v>154.3748548309848</v>
      </c>
      <c r="CA76" s="27">
        <f t="shared" si="155"/>
        <v>2.662921212060667</v>
      </c>
      <c r="CB76" s="139">
        <f t="shared" si="170"/>
        <v>82.55055757388068</v>
      </c>
      <c r="CD76" s="27">
        <f>IF(CJ75&lt;'DadosReais&amp;Graficos'!MinASW,'DadosReais&amp;Graficos'!MinASW,IF(CJ75&gt;'DadosReais&amp;Graficos'!MaxASW,'DadosReais&amp;Graficos'!MaxASW,CJ75))</f>
        <v>179.7558706169895</v>
      </c>
      <c r="CE76" s="25">
        <f t="shared" si="156"/>
        <v>6.828000183105469</v>
      </c>
      <c r="CG76" s="27">
        <f t="shared" si="157"/>
        <v>225.27587183769265</v>
      </c>
      <c r="CH76" s="27">
        <f t="shared" si="171"/>
        <v>89.37855775698615</v>
      </c>
      <c r="CI76" s="27">
        <f>MAX(CG76-CH76-'DadosReais&amp;Graficos'!MaxASW,0)</f>
        <v>0</v>
      </c>
      <c r="CJ76" s="27">
        <f t="shared" si="172"/>
        <v>135.8973140807065</v>
      </c>
      <c r="CK76" s="27">
        <f>poolFractn*Month!CI76</f>
        <v>0</v>
      </c>
      <c r="CQ76" s="25">
        <f>SIN(PI()*'DadosReais&amp;Graficos'!Lat/180)</f>
        <v>0.6293203910498374</v>
      </c>
      <c r="CR76" s="25">
        <f>COS(PI()*'DadosReais&amp;Graficos'!Lat/180)</f>
        <v>0.7771459614569709</v>
      </c>
      <c r="CS76" s="25">
        <f t="shared" si="139"/>
        <v>1987</v>
      </c>
      <c r="CT76" s="29">
        <f t="shared" si="175"/>
        <v>31778</v>
      </c>
      <c r="CU76" s="30">
        <f t="shared" si="173"/>
        <v>3</v>
      </c>
      <c r="CV76" s="27">
        <f t="shared" si="158"/>
        <v>75</v>
      </c>
      <c r="CW76" s="25">
        <f t="shared" si="176"/>
        <v>-0.03435761194480621</v>
      </c>
      <c r="CX76" s="25">
        <f t="shared" si="140"/>
        <v>0.027838681446559606</v>
      </c>
      <c r="CY76" s="25">
        <f t="shared" si="177"/>
        <v>0.49113752750129147</v>
      </c>
      <c r="CZ76" s="25">
        <f t="shared" si="178"/>
        <v>42434.28237611158</v>
      </c>
    </row>
    <row r="77" spans="1:104" ht="12.75">
      <c r="A77" s="149">
        <f t="shared" si="159"/>
        <v>31864</v>
      </c>
      <c r="B77" s="60">
        <f t="shared" si="141"/>
        <v>12</v>
      </c>
      <c r="C77" s="78">
        <f t="shared" si="142"/>
        <v>12.000000000000021</v>
      </c>
      <c r="D77" s="171">
        <f t="shared" si="160"/>
        <v>285197.6060505835</v>
      </c>
      <c r="E77" s="30">
        <f t="shared" si="179"/>
        <v>1111</v>
      </c>
      <c r="F77" s="27">
        <f t="shared" si="161"/>
        <v>8.27359597195894</v>
      </c>
      <c r="G77" s="27">
        <f t="shared" si="162"/>
        <v>31.284003860233202</v>
      </c>
      <c r="H77" s="27">
        <f t="shared" si="163"/>
        <v>135.87406855213254</v>
      </c>
      <c r="I77" s="27">
        <f t="shared" si="164"/>
        <v>144.14766452409148</v>
      </c>
      <c r="J77" s="27">
        <f t="shared" si="117"/>
        <v>175.43166838432467</v>
      </c>
      <c r="K77" s="27">
        <f t="shared" si="118"/>
        <v>4.000000811646537</v>
      </c>
      <c r="L77" s="27">
        <f t="shared" si="119"/>
        <v>3.3094390603071275</v>
      </c>
      <c r="M77" s="27">
        <f t="shared" si="120"/>
        <v>6.910747562424948</v>
      </c>
      <c r="O77" s="25">
        <f t="shared" si="74"/>
        <v>0.013</v>
      </c>
      <c r="P77" s="25">
        <f t="shared" si="121"/>
        <v>0.10755674763546622</v>
      </c>
      <c r="Q77" s="25">
        <f t="shared" si="122"/>
        <v>0.312840038602332</v>
      </c>
      <c r="S77" s="27">
        <f t="shared" si="174"/>
        <v>122.2988915860779</v>
      </c>
      <c r="T77" s="27">
        <f t="shared" si="77"/>
        <v>17.170466814292585</v>
      </c>
      <c r="U77" s="27">
        <f t="shared" si="123"/>
        <v>0.15937499999999993</v>
      </c>
      <c r="V77" s="27">
        <f t="shared" si="124"/>
        <v>0.45</v>
      </c>
      <c r="W77" s="27">
        <f t="shared" si="143"/>
        <v>253.8203086147476</v>
      </c>
      <c r="X77" s="27">
        <f t="shared" si="144"/>
        <v>21.151692384562264</v>
      </c>
      <c r="Y77" s="27">
        <f t="shared" si="145"/>
        <v>25.725755948599176</v>
      </c>
      <c r="AA77" s="24">
        <f t="shared" si="146"/>
        <v>0.980727207527397</v>
      </c>
      <c r="AB77" s="23">
        <f t="shared" si="125"/>
        <v>0.760487970991869</v>
      </c>
      <c r="AC77" s="23">
        <f>IF('DadosReais&amp;Graficos'!soilClass&gt;0,0.8-0.1*'DadosReais&amp;Graficos'!soilClass,IF('DadosReais&amp;Graficos'!soilClass&lt;0,SWconst0,999))</f>
        <v>0.6000000000000001</v>
      </c>
      <c r="AD77" s="23">
        <f>IF('DadosReais&amp;Graficos'!soilClass&gt;0,11-2*'DadosReais&amp;Graficos'!soilClass,SWpower0)</f>
        <v>7</v>
      </c>
      <c r="AE77" s="24">
        <f>1/(1+((1-CD77/'DadosReais&amp;Graficos'!MaxASW)/AC77)^AD77)</f>
        <v>0.9877395249192078</v>
      </c>
      <c r="AF77" s="24">
        <f t="shared" si="126"/>
        <v>0.6</v>
      </c>
      <c r="AG77" s="27">
        <f t="shared" si="85"/>
        <v>1</v>
      </c>
      <c r="AH77" s="27">
        <f t="shared" si="127"/>
        <v>1</v>
      </c>
      <c r="AI77" s="27">
        <f t="shared" si="128"/>
        <v>0.9959431858695368</v>
      </c>
      <c r="AJ77" s="24">
        <f t="shared" si="129"/>
        <v>0.7574028126451019</v>
      </c>
      <c r="AM77" s="27">
        <f t="shared" si="165"/>
        <v>560.3300285339355</v>
      </c>
      <c r="AN77" s="27">
        <f t="shared" si="130"/>
        <v>1</v>
      </c>
      <c r="AO77" s="27">
        <f t="shared" si="131"/>
        <v>0.8088543412183445</v>
      </c>
      <c r="AP77" s="27">
        <f t="shared" si="132"/>
        <v>453.22537609467264</v>
      </c>
      <c r="AQ77" s="27">
        <f t="shared" si="133"/>
        <v>0.04085430499803549</v>
      </c>
      <c r="AR77" s="27">
        <f t="shared" si="91"/>
        <v>2.2551576358915586</v>
      </c>
      <c r="AS77" s="27">
        <f t="shared" si="166"/>
        <v>1</v>
      </c>
      <c r="AT77" s="25">
        <f t="shared" si="167"/>
        <v>10.220946676797245</v>
      </c>
      <c r="AU77" s="25">
        <f t="shared" si="92"/>
        <v>4.803844938094705</v>
      </c>
      <c r="AW77" s="25">
        <f t="shared" si="93"/>
        <v>0.6</v>
      </c>
      <c r="AX77" s="25">
        <f t="shared" si="134"/>
        <v>0.0974725043958669</v>
      </c>
      <c r="AY77" s="25">
        <f t="shared" si="147"/>
        <v>0.2426755734025277</v>
      </c>
      <c r="AZ77" s="25">
        <f t="shared" si="135"/>
        <v>0.6900623237156742</v>
      </c>
      <c r="BA77" s="25">
        <f t="shared" si="136"/>
        <v>0.06726210288179812</v>
      </c>
      <c r="BB77" s="25">
        <f t="shared" si="148"/>
        <v>0.32311671245433116</v>
      </c>
      <c r="BC77" s="25">
        <f t="shared" si="149"/>
        <v>1.1657758248889627</v>
      </c>
      <c r="BD77" s="25">
        <f t="shared" si="150"/>
        <v>3.314952400751411</v>
      </c>
      <c r="BG77" s="76">
        <f t="shared" si="168"/>
        <v>31868</v>
      </c>
      <c r="BH77" s="30">
        <f t="shared" si="151"/>
        <v>30</v>
      </c>
      <c r="BI77" s="27">
        <f>'PSP-1 Metdata'!D78</f>
        <v>14.400000095367432</v>
      </c>
      <c r="BJ77" s="28">
        <f>'PSP-1 Metdata'!E78</f>
        <v>19.5</v>
      </c>
      <c r="BK77" s="28">
        <f>'PSP-1 Metdata'!F78</f>
        <v>9.300000190734863</v>
      </c>
      <c r="BL77" s="28">
        <f>'PSP-1 Metdata'!G78</f>
        <v>75.84000244140626</v>
      </c>
      <c r="BM77" s="28">
        <f>'PSP-1 Metdata'!I78</f>
        <v>18.67766761779785</v>
      </c>
      <c r="BN77" s="28">
        <f>'PSP-1 Metdata'!J78</f>
        <v>9</v>
      </c>
      <c r="BO77" s="28">
        <f>'PSP-1 Metdata'!K78</f>
        <v>0</v>
      </c>
      <c r="BP77" s="25">
        <f>'PSP-1 Metdata'!L78</f>
        <v>22.666337519734263</v>
      </c>
      <c r="BQ77" s="25">
        <f>'PSP-1 Metdata'!M78</f>
        <v>11.714538133970887</v>
      </c>
      <c r="BR77" s="25">
        <f>'PSP-1 Metdata'!N78</f>
        <v>5.475899692881688</v>
      </c>
      <c r="BT77" s="25">
        <f t="shared" si="169"/>
        <v>46978.19870062779</v>
      </c>
      <c r="BU77" s="25">
        <f t="shared" si="152"/>
        <v>228.06528363205643</v>
      </c>
      <c r="BV77" s="25">
        <f t="shared" si="101"/>
        <v>0.2</v>
      </c>
      <c r="BW77" s="25">
        <f t="shared" si="153"/>
        <v>2010.9080731373115</v>
      </c>
      <c r="BX77" s="25">
        <f t="shared" si="154"/>
        <v>0.015054525240565653</v>
      </c>
      <c r="BY77" s="25">
        <f t="shared" si="137"/>
        <v>16.485041992628474</v>
      </c>
      <c r="BZ77" s="25">
        <f t="shared" si="138"/>
        <v>152.42009685212838</v>
      </c>
      <c r="CA77" s="27">
        <f t="shared" si="155"/>
        <v>2.910740486133423</v>
      </c>
      <c r="CB77" s="139">
        <f t="shared" si="170"/>
        <v>87.3222145840027</v>
      </c>
      <c r="CD77" s="27">
        <f>IF(CJ76&lt;'DadosReais&amp;Graficos'!MinASW,'DadosReais&amp;Graficos'!MinASW,IF(CJ76&gt;'DadosReais&amp;Graficos'!MaxASW,'DadosReais&amp;Graficos'!MaxASW,CJ76))</f>
        <v>135.8973140807065</v>
      </c>
      <c r="CE77" s="25">
        <f t="shared" si="156"/>
        <v>11.376000366210938</v>
      </c>
      <c r="CG77" s="27">
        <f t="shared" si="157"/>
        <v>211.73731652211276</v>
      </c>
      <c r="CH77" s="27">
        <f t="shared" si="171"/>
        <v>98.69821495021364</v>
      </c>
      <c r="CI77" s="27">
        <f>MAX(CG77-CH77-'DadosReais&amp;Graficos'!MaxASW,0)</f>
        <v>0</v>
      </c>
      <c r="CJ77" s="27">
        <f t="shared" si="172"/>
        <v>113.03910157189912</v>
      </c>
      <c r="CK77" s="27">
        <f>poolFractn*Month!CI77</f>
        <v>0</v>
      </c>
      <c r="CQ77" s="25">
        <f>SIN(PI()*'DadosReais&amp;Graficos'!Lat/180)</f>
        <v>0.6293203910498374</v>
      </c>
      <c r="CR77" s="25">
        <f>COS(PI()*'DadosReais&amp;Graficos'!Lat/180)</f>
        <v>0.7771459614569709</v>
      </c>
      <c r="CS77" s="25">
        <f t="shared" si="139"/>
        <v>1987</v>
      </c>
      <c r="CT77" s="29">
        <f t="shared" si="175"/>
        <v>31778</v>
      </c>
      <c r="CU77" s="30">
        <f t="shared" si="173"/>
        <v>4</v>
      </c>
      <c r="CV77" s="27">
        <f t="shared" si="158"/>
        <v>105</v>
      </c>
      <c r="CW77" s="25">
        <f t="shared" si="176"/>
        <v>0.16674832097168432</v>
      </c>
      <c r="CX77" s="25">
        <f t="shared" si="140"/>
        <v>-0.13694746197546548</v>
      </c>
      <c r="CY77" s="25">
        <f t="shared" si="177"/>
        <v>0.5437291516276365</v>
      </c>
      <c r="CZ77" s="25">
        <f t="shared" si="178"/>
        <v>46978.19870062779</v>
      </c>
    </row>
    <row r="78" spans="1:104" ht="12.75">
      <c r="A78" s="149">
        <f t="shared" si="159"/>
        <v>31895</v>
      </c>
      <c r="B78" s="60">
        <f t="shared" si="141"/>
        <v>12.08</v>
      </c>
      <c r="C78" s="78">
        <f t="shared" si="142"/>
        <v>12.083333333333355</v>
      </c>
      <c r="D78" s="171">
        <f t="shared" si="160"/>
        <v>274493.8747002714</v>
      </c>
      <c r="E78" s="30">
        <f t="shared" si="179"/>
        <v>1111</v>
      </c>
      <c r="F78" s="27">
        <f t="shared" si="161"/>
        <v>8.489155936777804</v>
      </c>
      <c r="G78" s="27">
        <f t="shared" si="162"/>
        <v>32.136939646519835</v>
      </c>
      <c r="H78" s="27">
        <f t="shared" si="163"/>
        <v>139.18902095288396</v>
      </c>
      <c r="I78" s="27">
        <f t="shared" si="164"/>
        <v>147.67817688966176</v>
      </c>
      <c r="J78" s="27">
        <f t="shared" si="117"/>
        <v>179.81511653618162</v>
      </c>
      <c r="K78" s="27">
        <f t="shared" si="118"/>
        <v>4.0000006496850355</v>
      </c>
      <c r="L78" s="27">
        <f t="shared" si="119"/>
        <v>3.3956629262388796</v>
      </c>
      <c r="M78" s="27">
        <f t="shared" si="120"/>
        <v>7.018304310060414</v>
      </c>
      <c r="O78" s="25">
        <f t="shared" si="74"/>
        <v>0.013</v>
      </c>
      <c r="P78" s="25">
        <f t="shared" si="121"/>
        <v>0.11035902717811144</v>
      </c>
      <c r="Q78" s="25">
        <f t="shared" si="122"/>
        <v>0.32136939646519835</v>
      </c>
      <c r="S78" s="27">
        <f t="shared" si="174"/>
        <v>125.2826471223078</v>
      </c>
      <c r="T78" s="27">
        <f t="shared" si="77"/>
        <v>17.3240889514337</v>
      </c>
      <c r="U78" s="27">
        <f t="shared" si="123"/>
        <v>0.15910811194831498</v>
      </c>
      <c r="V78" s="27">
        <f t="shared" si="124"/>
        <v>0.45</v>
      </c>
      <c r="W78" s="27">
        <f t="shared" si="143"/>
        <v>260.09537472252475</v>
      </c>
      <c r="X78" s="27">
        <f t="shared" si="144"/>
        <v>21.52513445979511</v>
      </c>
      <c r="Y78" s="27">
        <f t="shared" si="145"/>
        <v>26.188145805998435</v>
      </c>
      <c r="AA78" s="24">
        <f t="shared" si="146"/>
        <v>0.9999294420916667</v>
      </c>
      <c r="AB78" s="23">
        <f t="shared" si="125"/>
        <v>0.6877626976801117</v>
      </c>
      <c r="AC78" s="23">
        <f>IF('DadosReais&amp;Graficos'!soilClass&gt;0,0.8-0.1*'DadosReais&amp;Graficos'!soilClass,IF('DadosReais&amp;Graficos'!soilClass&lt;0,SWconst0,999))</f>
        <v>0.6000000000000001</v>
      </c>
      <c r="AD78" s="23">
        <f>IF('DadosReais&amp;Graficos'!soilClass&gt;0,11-2*'DadosReais&amp;Graficos'!soilClass,SWpower0)</f>
        <v>7</v>
      </c>
      <c r="AE78" s="24">
        <f>1/(1+((1-CD78/'DadosReais&amp;Graficos'!MaxASW)/AC78)^AD78)</f>
        <v>0.9050149695551126</v>
      </c>
      <c r="AF78" s="24">
        <f t="shared" si="126"/>
        <v>0.6</v>
      </c>
      <c r="AG78" s="27">
        <f t="shared" si="85"/>
        <v>1</v>
      </c>
      <c r="AH78" s="27">
        <f t="shared" si="127"/>
        <v>1</v>
      </c>
      <c r="AI78" s="27">
        <f t="shared" si="128"/>
        <v>0.995829792153156</v>
      </c>
      <c r="AJ78" s="24">
        <f t="shared" si="129"/>
        <v>0.6848945842814795</v>
      </c>
      <c r="AM78" s="27">
        <f t="shared" si="165"/>
        <v>705.049970626831</v>
      </c>
      <c r="AN78" s="27">
        <f t="shared" si="130"/>
        <v>1</v>
      </c>
      <c r="AO78" s="27">
        <f t="shared" si="131"/>
        <v>0.816919890137823</v>
      </c>
      <c r="AP78" s="27">
        <f t="shared" si="132"/>
        <v>575.9693445461461</v>
      </c>
      <c r="AQ78" s="27">
        <f t="shared" si="133"/>
        <v>0.03766654427537011</v>
      </c>
      <c r="AR78" s="27">
        <f t="shared" si="91"/>
        <v>2.07919324400043</v>
      </c>
      <c r="AS78" s="27">
        <f t="shared" si="166"/>
        <v>0.9605409736553665</v>
      </c>
      <c r="AT78" s="25">
        <f t="shared" si="167"/>
        <v>11.502973509847106</v>
      </c>
      <c r="AU78" s="25">
        <f t="shared" si="92"/>
        <v>5.40639754962814</v>
      </c>
      <c r="AW78" s="25">
        <f t="shared" si="93"/>
        <v>0.6</v>
      </c>
      <c r="AX78" s="25">
        <f t="shared" si="134"/>
        <v>0.0970195981684826</v>
      </c>
      <c r="AY78" s="25">
        <f t="shared" si="147"/>
        <v>0.25525149082543763</v>
      </c>
      <c r="AZ78" s="25">
        <f t="shared" si="135"/>
        <v>0.6788835043767215</v>
      </c>
      <c r="BA78" s="25">
        <f t="shared" si="136"/>
        <v>0.06586500479784085</v>
      </c>
      <c r="BB78" s="25">
        <f t="shared" si="148"/>
        <v>0.35609240054529245</v>
      </c>
      <c r="BC78" s="25">
        <f t="shared" si="149"/>
        <v>1.3799910345375757</v>
      </c>
      <c r="BD78" s="25">
        <f t="shared" si="150"/>
        <v>3.6703141145452713</v>
      </c>
      <c r="BG78" s="76">
        <f t="shared" si="168"/>
        <v>31898</v>
      </c>
      <c r="BH78" s="30">
        <f t="shared" si="151"/>
        <v>31</v>
      </c>
      <c r="BI78" s="27">
        <f>'PSP-1 Metdata'!D79</f>
        <v>16.09999990463257</v>
      </c>
      <c r="BJ78" s="28">
        <f>'PSP-1 Metdata'!E79</f>
        <v>22.399999618530273</v>
      </c>
      <c r="BK78" s="28">
        <f>'PSP-1 Metdata'!F79</f>
        <v>9.800000190734863</v>
      </c>
      <c r="BL78" s="28">
        <f>'PSP-1 Metdata'!G79</f>
        <v>3.2</v>
      </c>
      <c r="BM78" s="28">
        <f>'PSP-1 Metdata'!I79</f>
        <v>22.743547439575195</v>
      </c>
      <c r="BN78" s="28">
        <f>'PSP-1 Metdata'!J79</f>
        <v>2</v>
      </c>
      <c r="BO78" s="28">
        <f>'PSP-1 Metdata'!K79</f>
        <v>0</v>
      </c>
      <c r="BP78" s="25">
        <f>'PSP-1 Metdata'!L79</f>
        <v>27.08759986636372</v>
      </c>
      <c r="BQ78" s="25">
        <f>'PSP-1 Metdata'!M79</f>
        <v>12.11514319801641</v>
      </c>
      <c r="BR78" s="25">
        <f>'PSP-1 Metdata'!N79</f>
        <v>7.4862283341736555</v>
      </c>
      <c r="BT78" s="25">
        <f t="shared" si="169"/>
        <v>51049.507507765746</v>
      </c>
      <c r="BU78" s="25">
        <f t="shared" si="152"/>
        <v>266.4155432624365</v>
      </c>
      <c r="BV78" s="25">
        <f t="shared" si="101"/>
        <v>0.2</v>
      </c>
      <c r="BW78" s="25">
        <f t="shared" si="153"/>
        <v>2749.1586476845914</v>
      </c>
      <c r="BX78" s="25">
        <f t="shared" si="154"/>
        <v>0.013697891685629592</v>
      </c>
      <c r="BY78" s="25">
        <f t="shared" si="137"/>
        <v>17.80078708388527</v>
      </c>
      <c r="BZ78" s="25">
        <f t="shared" si="138"/>
        <v>187.36659379973784</v>
      </c>
      <c r="CA78" s="27">
        <f t="shared" si="155"/>
        <v>3.888200136944801</v>
      </c>
      <c r="CB78" s="139">
        <f t="shared" si="170"/>
        <v>120.53420424528883</v>
      </c>
      <c r="CD78" s="27">
        <f>IF(CJ77&lt;'DadosReais&amp;Graficos'!MinASW,'DadosReais&amp;Graficos'!MinASW,IF(CJ77&gt;'DadosReais&amp;Graficos'!MaxASW,'DadosReais&amp;Graficos'!MaxASW,CJ77))</f>
        <v>113.03910157189912</v>
      </c>
      <c r="CE78" s="25">
        <f t="shared" si="156"/>
        <v>0.48</v>
      </c>
      <c r="CG78" s="27">
        <f t="shared" si="157"/>
        <v>116.23910157189913</v>
      </c>
      <c r="CH78" s="27">
        <f t="shared" si="171"/>
        <v>116.23910157189913</v>
      </c>
      <c r="CI78" s="27">
        <f>MAX(CG78-CH78-'DadosReais&amp;Graficos'!MaxASW,0)</f>
        <v>0</v>
      </c>
      <c r="CJ78" s="27">
        <f t="shared" si="172"/>
        <v>0</v>
      </c>
      <c r="CK78" s="27">
        <f>poolFractn*Month!CI78</f>
        <v>0</v>
      </c>
      <c r="CQ78" s="25">
        <f>SIN(PI()*'DadosReais&amp;Graficos'!Lat/180)</f>
        <v>0.6293203910498374</v>
      </c>
      <c r="CR78" s="25">
        <f>COS(PI()*'DadosReais&amp;Graficos'!Lat/180)</f>
        <v>0.7771459614569709</v>
      </c>
      <c r="CS78" s="25">
        <f t="shared" si="139"/>
        <v>1987</v>
      </c>
      <c r="CT78" s="29">
        <f t="shared" si="175"/>
        <v>31778</v>
      </c>
      <c r="CU78" s="30">
        <f t="shared" si="173"/>
        <v>5</v>
      </c>
      <c r="CV78" s="27">
        <f t="shared" si="158"/>
        <v>136</v>
      </c>
      <c r="CW78" s="25">
        <f t="shared" si="176"/>
        <v>0.328409053946799</v>
      </c>
      <c r="CX78" s="25">
        <f t="shared" si="140"/>
        <v>-0.2815567874772962</v>
      </c>
      <c r="CY78" s="25">
        <f t="shared" si="177"/>
        <v>0.5908507813398813</v>
      </c>
      <c r="CZ78" s="25">
        <f t="shared" si="178"/>
        <v>51049.507507765746</v>
      </c>
    </row>
    <row r="79" spans="1:104" ht="12.75">
      <c r="A79" s="149">
        <f t="shared" si="159"/>
        <v>31925</v>
      </c>
      <c r="B79" s="60">
        <f t="shared" si="141"/>
        <v>12.17</v>
      </c>
      <c r="C79" s="78">
        <f t="shared" si="142"/>
        <v>12.16666666666669</v>
      </c>
      <c r="D79" s="171">
        <f t="shared" si="160"/>
        <v>263125.1890091978</v>
      </c>
      <c r="E79" s="30">
        <f t="shared" si="179"/>
        <v>1111</v>
      </c>
      <c r="F79" s="27">
        <f t="shared" si="161"/>
        <v>8.734889310144986</v>
      </c>
      <c r="G79" s="27">
        <f t="shared" si="162"/>
        <v>33.19556128459221</v>
      </c>
      <c r="H79" s="27">
        <f t="shared" si="163"/>
        <v>142.85933506742924</v>
      </c>
      <c r="I79" s="27">
        <f t="shared" si="164"/>
        <v>151.59422437757422</v>
      </c>
      <c r="J79" s="27">
        <f t="shared" si="117"/>
        <v>184.78978566216642</v>
      </c>
      <c r="K79" s="27">
        <f t="shared" si="118"/>
        <v>4.000000519242021</v>
      </c>
      <c r="L79" s="27">
        <f t="shared" si="119"/>
        <v>3.493956177610152</v>
      </c>
      <c r="M79" s="27">
        <f t="shared" si="120"/>
        <v>7.1286633372385255</v>
      </c>
      <c r="O79" s="25">
        <f t="shared" si="74"/>
        <v>0.013</v>
      </c>
      <c r="P79" s="25">
        <f t="shared" si="121"/>
        <v>0.11355356103188481</v>
      </c>
      <c r="Q79" s="25">
        <f t="shared" si="122"/>
        <v>0.3319556128459221</v>
      </c>
      <c r="S79" s="27">
        <f t="shared" si="174"/>
        <v>128.586260186705</v>
      </c>
      <c r="T79" s="27">
        <f t="shared" si="77"/>
        <v>17.491511841286165</v>
      </c>
      <c r="U79" s="27">
        <f t="shared" si="123"/>
        <v>0.1588488216813908</v>
      </c>
      <c r="V79" s="27">
        <f t="shared" si="124"/>
        <v>0.45</v>
      </c>
      <c r="W79" s="27">
        <f t="shared" si="143"/>
        <v>267.0362178350691</v>
      </c>
      <c r="X79" s="27">
        <f t="shared" si="144"/>
        <v>21.94818228781386</v>
      </c>
      <c r="Y79" s="27">
        <f t="shared" si="145"/>
        <v>26.696764909652163</v>
      </c>
      <c r="AA79" s="24">
        <f t="shared" si="146"/>
        <v>0.9686088476054435</v>
      </c>
      <c r="AB79" s="23">
        <f t="shared" si="125"/>
        <v>0.6986362702128398</v>
      </c>
      <c r="AC79" s="23">
        <f>IF('DadosReais&amp;Graficos'!soilClass&gt;0,0.8-0.1*'DadosReais&amp;Graficos'!soilClass,IF('DadosReais&amp;Graficos'!soilClass&lt;0,SWconst0,999))</f>
        <v>0.6000000000000001</v>
      </c>
      <c r="AD79" s="23">
        <f>IF('DadosReais&amp;Graficos'!soilClass&gt;0,11-2*'DadosReais&amp;Graficos'!soilClass,SWpower0)</f>
        <v>7</v>
      </c>
      <c r="AE79" s="24">
        <f>1/(1+((1-CD79/'DadosReais&amp;Graficos'!MaxASW)/AC79)^AD79)</f>
        <v>0.027231297938041656</v>
      </c>
      <c r="AF79" s="24">
        <f t="shared" si="126"/>
        <v>0.6</v>
      </c>
      <c r="AG79" s="27">
        <f t="shared" si="85"/>
        <v>1</v>
      </c>
      <c r="AH79" s="27">
        <f t="shared" si="127"/>
        <v>1</v>
      </c>
      <c r="AI79" s="27">
        <f t="shared" si="128"/>
        <v>0.9957140545646235</v>
      </c>
      <c r="AJ79" s="24">
        <f t="shared" si="129"/>
        <v>0.02711458608094473</v>
      </c>
      <c r="AM79" s="27">
        <f t="shared" si="165"/>
        <v>765.1899719238281</v>
      </c>
      <c r="AN79" s="27">
        <f t="shared" si="130"/>
        <v>1</v>
      </c>
      <c r="AO79" s="27">
        <f t="shared" si="131"/>
        <v>0.8257001328773651</v>
      </c>
      <c r="AP79" s="27">
        <f t="shared" si="132"/>
        <v>631.8174614939321</v>
      </c>
      <c r="AQ79" s="27">
        <f t="shared" si="133"/>
        <v>0.001444488538743936</v>
      </c>
      <c r="AR79" s="27">
        <f t="shared" si="91"/>
        <v>0.07973576733866526</v>
      </c>
      <c r="AS79" s="27">
        <f t="shared" si="166"/>
        <v>1</v>
      </c>
      <c r="AT79" s="25">
        <f t="shared" si="167"/>
        <v>0.5037845011018627</v>
      </c>
      <c r="AU79" s="25">
        <f t="shared" si="92"/>
        <v>0.23677871551787544</v>
      </c>
      <c r="AW79" s="25">
        <f t="shared" si="93"/>
        <v>0.6</v>
      </c>
      <c r="AX79" s="25">
        <f t="shared" si="134"/>
        <v>0.09653291852251841</v>
      </c>
      <c r="AY79" s="25">
        <f t="shared" si="147"/>
        <v>0.4817139364068673</v>
      </c>
      <c r="AZ79" s="25">
        <f t="shared" si="135"/>
        <v>0.47265891870485527</v>
      </c>
      <c r="BA79" s="25">
        <f t="shared" si="136"/>
        <v>0.045627144888277404</v>
      </c>
      <c r="BB79" s="25">
        <f t="shared" si="148"/>
        <v>0.01080353675939432</v>
      </c>
      <c r="BC79" s="25">
        <f t="shared" si="149"/>
        <v>0.11405960710947757</v>
      </c>
      <c r="BD79" s="25">
        <f t="shared" si="150"/>
        <v>0.11191557164900354</v>
      </c>
      <c r="BG79" s="76">
        <f t="shared" si="168"/>
        <v>31929</v>
      </c>
      <c r="BH79" s="30">
        <f t="shared" si="151"/>
        <v>30</v>
      </c>
      <c r="BI79" s="27">
        <f>'PSP-1 Metdata'!D80</f>
        <v>18.200000286102295</v>
      </c>
      <c r="BJ79" s="28">
        <f>'PSP-1 Metdata'!E80</f>
        <v>23.600000381469727</v>
      </c>
      <c r="BK79" s="28">
        <f>'PSP-1 Metdata'!F80</f>
        <v>12.800000190734863</v>
      </c>
      <c r="BL79" s="28">
        <f>'PSP-1 Metdata'!G80</f>
        <v>20.23999938964844</v>
      </c>
      <c r="BM79" s="28">
        <f>'PSP-1 Metdata'!I80</f>
        <v>25.506332397460938</v>
      </c>
      <c r="BN79" s="28">
        <f>'PSP-1 Metdata'!J80</f>
        <v>4</v>
      </c>
      <c r="BO79" s="28">
        <f>'PSP-1 Metdata'!K80</f>
        <v>0</v>
      </c>
      <c r="BP79" s="25">
        <f>'PSP-1 Metdata'!L80</f>
        <v>29.12664203179622</v>
      </c>
      <c r="BQ79" s="25">
        <f>'PSP-1 Metdata'!M80</f>
        <v>14.781640850576382</v>
      </c>
      <c r="BR79" s="25">
        <f>'PSP-1 Metdata'!N80</f>
        <v>7.172500590609919</v>
      </c>
      <c r="BT79" s="25">
        <f t="shared" si="169"/>
        <v>53082.57808162483</v>
      </c>
      <c r="BU79" s="25">
        <f t="shared" si="152"/>
        <v>294.4023153244739</v>
      </c>
      <c r="BV79" s="25">
        <f t="shared" si="101"/>
        <v>0.2</v>
      </c>
      <c r="BW79" s="25">
        <f t="shared" si="153"/>
        <v>2633.948784888972</v>
      </c>
      <c r="BX79" s="25">
        <f t="shared" si="154"/>
        <v>0.0005422917216188946</v>
      </c>
      <c r="BY79" s="25">
        <f t="shared" si="137"/>
        <v>372.00518736842093</v>
      </c>
      <c r="BZ79" s="25">
        <f t="shared" si="138"/>
        <v>8.82147343647872</v>
      </c>
      <c r="CA79" s="27">
        <f t="shared" si="155"/>
        <v>0.19035225710848008</v>
      </c>
      <c r="CB79" s="139">
        <f t="shared" si="170"/>
        <v>5.710567713254402</v>
      </c>
      <c r="CD79" s="27">
        <f>IF(CJ78&lt;'DadosReais&amp;Graficos'!MinASW,'DadosReais&amp;Graficos'!MinASW,IF(CJ78&gt;'DadosReais&amp;Graficos'!MaxASW,'DadosReais&amp;Graficos'!MaxASW,CJ78))</f>
        <v>0</v>
      </c>
      <c r="CE79" s="25">
        <f t="shared" si="156"/>
        <v>3.0359999084472657</v>
      </c>
      <c r="CG79" s="27">
        <f t="shared" si="157"/>
        <v>20.23999938964844</v>
      </c>
      <c r="CH79" s="27">
        <f t="shared" si="171"/>
        <v>8.746567621701669</v>
      </c>
      <c r="CI79" s="27">
        <f>MAX(CG79-CH79-'DadosReais&amp;Graficos'!MaxASW,0)</f>
        <v>0</v>
      </c>
      <c r="CJ79" s="27">
        <f t="shared" si="172"/>
        <v>11.49343176794677</v>
      </c>
      <c r="CK79" s="27">
        <f>poolFractn*Month!CI79</f>
        <v>0</v>
      </c>
      <c r="CQ79" s="25">
        <f>SIN(PI()*'DadosReais&amp;Graficos'!Lat/180)</f>
        <v>0.6293203910498374</v>
      </c>
      <c r="CR79" s="25">
        <f>COS(PI()*'DadosReais&amp;Graficos'!Lat/180)</f>
        <v>0.7771459614569709</v>
      </c>
      <c r="CS79" s="25">
        <f t="shared" si="139"/>
        <v>1987</v>
      </c>
      <c r="CT79" s="29">
        <f t="shared" si="175"/>
        <v>31778</v>
      </c>
      <c r="CU79" s="30">
        <f t="shared" si="173"/>
        <v>6</v>
      </c>
      <c r="CV79" s="27">
        <f t="shared" si="158"/>
        <v>166</v>
      </c>
      <c r="CW79" s="25">
        <f t="shared" si="176"/>
        <v>0.3983231954255811</v>
      </c>
      <c r="CX79" s="25">
        <f t="shared" si="140"/>
        <v>-0.3516571006926921</v>
      </c>
      <c r="CY79" s="25">
        <f t="shared" si="177"/>
        <v>0.6143816907595466</v>
      </c>
      <c r="CZ79" s="25">
        <f t="shared" si="178"/>
        <v>53082.57808162483</v>
      </c>
    </row>
    <row r="80" spans="1:104" ht="12.75">
      <c r="A80" s="149">
        <f t="shared" si="159"/>
        <v>31956</v>
      </c>
      <c r="B80" s="60">
        <f t="shared" si="141"/>
        <v>12.25</v>
      </c>
      <c r="C80" s="78">
        <f t="shared" si="142"/>
        <v>12.250000000000023</v>
      </c>
      <c r="D80" s="171">
        <f t="shared" si="160"/>
        <v>263586.5361552718</v>
      </c>
      <c r="E80" s="30">
        <f t="shared" si="179"/>
        <v>1111</v>
      </c>
      <c r="F80" s="27">
        <f t="shared" si="161"/>
        <v>8.632139285872494</v>
      </c>
      <c r="G80" s="27">
        <f t="shared" si="162"/>
        <v>32.97766527885576</v>
      </c>
      <c r="H80" s="27">
        <f t="shared" si="163"/>
        <v>142.97125063907825</v>
      </c>
      <c r="I80" s="27">
        <f t="shared" si="164"/>
        <v>151.60338992495073</v>
      </c>
      <c r="J80" s="27">
        <f t="shared" si="117"/>
        <v>184.5810552038065</v>
      </c>
      <c r="K80" s="27">
        <f t="shared" si="118"/>
        <v>4.000000414350478</v>
      </c>
      <c r="L80" s="27">
        <f t="shared" si="119"/>
        <v>3.452856072022102</v>
      </c>
      <c r="M80" s="27">
        <f t="shared" si="120"/>
        <v>7.24221689827041</v>
      </c>
      <c r="O80" s="25">
        <f t="shared" si="74"/>
        <v>0.013</v>
      </c>
      <c r="P80" s="25">
        <f t="shared" si="121"/>
        <v>0.11221781071634242</v>
      </c>
      <c r="Q80" s="25">
        <f t="shared" si="122"/>
        <v>0.3297766527885576</v>
      </c>
      <c r="S80" s="27">
        <f t="shared" si="174"/>
        <v>128.68699427459788</v>
      </c>
      <c r="T80" s="27">
        <f t="shared" si="77"/>
        <v>17.496574074300998</v>
      </c>
      <c r="U80" s="27">
        <f t="shared" si="123"/>
        <v>0.1585969129050437</v>
      </c>
      <c r="V80" s="27">
        <f t="shared" si="124"/>
        <v>0.45</v>
      </c>
      <c r="W80" s="27">
        <f t="shared" si="143"/>
        <v>267.32544811899373</v>
      </c>
      <c r="X80" s="27">
        <f t="shared" si="144"/>
        <v>21.82248556073414</v>
      </c>
      <c r="Y80" s="27">
        <f t="shared" si="145"/>
        <v>26.71221981168582</v>
      </c>
      <c r="AA80" s="24">
        <f t="shared" si="146"/>
        <v>0.8687980014514132</v>
      </c>
      <c r="AB80" s="23">
        <f t="shared" si="125"/>
        <v>0.6547850863719631</v>
      </c>
      <c r="AC80" s="23">
        <f>IF('DadosReais&amp;Graficos'!soilClass&gt;0,0.8-0.1*'DadosReais&amp;Graficos'!soilClass,IF('DadosReais&amp;Graficos'!soilClass&lt;0,SWconst0,999))</f>
        <v>0.6000000000000001</v>
      </c>
      <c r="AD80" s="23">
        <f>IF('DadosReais&amp;Graficos'!soilClass&gt;0,11-2*'DadosReais&amp;Graficos'!soilClass,SWpower0)</f>
        <v>7</v>
      </c>
      <c r="AE80" s="24">
        <f>1/(1+((1-CD80/'DadosReais&amp;Graficos'!MaxASW)/AC80)^AD80)</f>
        <v>0.040641007260824334</v>
      </c>
      <c r="AF80" s="24">
        <f t="shared" si="126"/>
        <v>0.6</v>
      </c>
      <c r="AG80" s="27">
        <f t="shared" si="85"/>
        <v>1</v>
      </c>
      <c r="AH80" s="27">
        <f t="shared" si="127"/>
        <v>1</v>
      </c>
      <c r="AI80" s="27">
        <f t="shared" si="128"/>
        <v>0.9955959419573274</v>
      </c>
      <c r="AJ80" s="24">
        <f t="shared" si="129"/>
        <v>0.04046202190593498</v>
      </c>
      <c r="AM80" s="27">
        <f t="shared" si="165"/>
        <v>728.6500072479248</v>
      </c>
      <c r="AN80" s="27">
        <f t="shared" si="130"/>
        <v>1</v>
      </c>
      <c r="AO80" s="27">
        <f t="shared" si="131"/>
        <v>0.8220812041746992</v>
      </c>
      <c r="AP80" s="27">
        <f t="shared" si="132"/>
        <v>599.0094753802773</v>
      </c>
      <c r="AQ80" s="27">
        <f t="shared" si="133"/>
        <v>0.0019334328071607787</v>
      </c>
      <c r="AR80" s="27">
        <f t="shared" si="91"/>
        <v>0.10672549095527498</v>
      </c>
      <c r="AS80" s="27">
        <f t="shared" si="166"/>
        <v>1</v>
      </c>
      <c r="AT80" s="25">
        <f t="shared" si="167"/>
        <v>0.6392958034682179</v>
      </c>
      <c r="AU80" s="25">
        <f t="shared" si="92"/>
        <v>0.3004690276300624</v>
      </c>
      <c r="AW80" s="25">
        <f t="shared" si="93"/>
        <v>0.6</v>
      </c>
      <c r="AX80" s="25">
        <f t="shared" si="134"/>
        <v>0.0965183137258085</v>
      </c>
      <c r="AY80" s="25">
        <f t="shared" si="147"/>
        <v>0.4731950028031216</v>
      </c>
      <c r="AZ80" s="25">
        <f t="shared" si="135"/>
        <v>0.4804342896990678</v>
      </c>
      <c r="BA80" s="25">
        <f t="shared" si="136"/>
        <v>0.04637070749781064</v>
      </c>
      <c r="BB80" s="25">
        <f t="shared" si="148"/>
        <v>0.013932961392385205</v>
      </c>
      <c r="BC80" s="25">
        <f t="shared" si="149"/>
        <v>0.14218044237165858</v>
      </c>
      <c r="BD80" s="25">
        <f t="shared" si="150"/>
        <v>0.1443556238660186</v>
      </c>
      <c r="BG80" s="76">
        <f t="shared" si="168"/>
        <v>31959</v>
      </c>
      <c r="BH80" s="30">
        <f t="shared" si="151"/>
        <v>31</v>
      </c>
      <c r="BI80" s="27">
        <f>'PSP-1 Metdata'!D81</f>
        <v>20.749999523162842</v>
      </c>
      <c r="BJ80" s="28">
        <f>'PSP-1 Metdata'!E81</f>
        <v>26.299999237060547</v>
      </c>
      <c r="BK80" s="28">
        <f>'PSP-1 Metdata'!F81</f>
        <v>15.199999809265137</v>
      </c>
      <c r="BL80" s="28">
        <f>'PSP-1 Metdata'!G81</f>
        <v>3.0399999618530273</v>
      </c>
      <c r="BM80" s="28">
        <f>'PSP-1 Metdata'!I81</f>
        <v>23.504838943481445</v>
      </c>
      <c r="BN80" s="28">
        <f>'PSP-1 Metdata'!J81</f>
        <v>2</v>
      </c>
      <c r="BO80" s="28">
        <f>'PSP-1 Metdata'!K81</f>
        <v>0</v>
      </c>
      <c r="BP80" s="25">
        <f>'PSP-1 Metdata'!L81</f>
        <v>34.21061135585212</v>
      </c>
      <c r="BQ80" s="25">
        <f>'PSP-1 Metdata'!M81</f>
        <v>17.272682971981894</v>
      </c>
      <c r="BR80" s="25">
        <f>'PSP-1 Metdata'!N81</f>
        <v>8.468964191935115</v>
      </c>
      <c r="BT80" s="25">
        <f t="shared" si="169"/>
        <v>51987.026278968784</v>
      </c>
      <c r="BU80" s="25">
        <f t="shared" si="152"/>
        <v>271.7031498182118</v>
      </c>
      <c r="BV80" s="25">
        <f t="shared" si="101"/>
        <v>0.2</v>
      </c>
      <c r="BW80" s="25">
        <f t="shared" si="153"/>
        <v>3110.047557447302</v>
      </c>
      <c r="BX80" s="25">
        <f t="shared" si="154"/>
        <v>0.0008092404381186997</v>
      </c>
      <c r="BY80" s="25">
        <f t="shared" si="137"/>
        <v>250.34533602022486</v>
      </c>
      <c r="BZ80" s="25">
        <f t="shared" si="138"/>
        <v>14.810719248821249</v>
      </c>
      <c r="CA80" s="27">
        <f t="shared" si="155"/>
        <v>0.31299400438979635</v>
      </c>
      <c r="CB80" s="139">
        <f t="shared" si="170"/>
        <v>9.702814136083687</v>
      </c>
      <c r="CD80" s="27">
        <f>IF(CJ79&lt;'DadosReais&amp;Graficos'!MinASW,'DadosReais&amp;Graficos'!MinASW,IF(CJ79&gt;'DadosReais&amp;Graficos'!MaxASW,'DadosReais&amp;Graficos'!MaxASW,CJ79))</f>
        <v>11.49343176794677</v>
      </c>
      <c r="CE80" s="25">
        <f t="shared" si="156"/>
        <v>0.45599999427795407</v>
      </c>
      <c r="CG80" s="27">
        <f t="shared" si="157"/>
        <v>14.533431729799798</v>
      </c>
      <c r="CH80" s="27">
        <f t="shared" si="171"/>
        <v>10.158814130361641</v>
      </c>
      <c r="CI80" s="27">
        <f>MAX(CG80-CH80-'DadosReais&amp;Graficos'!MaxASW,0)</f>
        <v>0</v>
      </c>
      <c r="CJ80" s="27">
        <f t="shared" si="172"/>
        <v>4.374617599438157</v>
      </c>
      <c r="CK80" s="27">
        <f>poolFractn*Month!CI80</f>
        <v>0</v>
      </c>
      <c r="CQ80" s="25">
        <f>SIN(PI()*'DadosReais&amp;Graficos'!Lat/180)</f>
        <v>0.6293203910498374</v>
      </c>
      <c r="CR80" s="25">
        <f>COS(PI()*'DadosReais&amp;Graficos'!Lat/180)</f>
        <v>0.7771459614569709</v>
      </c>
      <c r="CS80" s="25">
        <f t="shared" si="139"/>
        <v>1987</v>
      </c>
      <c r="CT80" s="29">
        <f t="shared" si="175"/>
        <v>31778</v>
      </c>
      <c r="CU80" s="30">
        <f t="shared" si="173"/>
        <v>7</v>
      </c>
      <c r="CV80" s="27">
        <f t="shared" si="158"/>
        <v>197</v>
      </c>
      <c r="CW80" s="25">
        <f t="shared" si="176"/>
        <v>0.3616269729601193</v>
      </c>
      <c r="CX80" s="25">
        <f t="shared" si="140"/>
        <v>-0.3140969275246581</v>
      </c>
      <c r="CY80" s="25">
        <f t="shared" si="177"/>
        <v>0.6017016930436202</v>
      </c>
      <c r="CZ80" s="25">
        <f t="shared" si="178"/>
        <v>51987.026278968784</v>
      </c>
    </row>
    <row r="81" spans="1:104" ht="12.75">
      <c r="A81" s="149">
        <f t="shared" si="159"/>
        <v>31986</v>
      </c>
      <c r="B81" s="60">
        <f t="shared" si="141"/>
        <v>12.33</v>
      </c>
      <c r="C81" s="78">
        <f t="shared" si="142"/>
        <v>12.333333333333357</v>
      </c>
      <c r="D81" s="171">
        <f t="shared" si="160"/>
        <v>263900.10076353035</v>
      </c>
      <c r="E81" s="30">
        <f t="shared" si="179"/>
        <v>1111</v>
      </c>
      <c r="F81" s="27">
        <f t="shared" si="161"/>
        <v>8.533854436548536</v>
      </c>
      <c r="G81" s="27">
        <f t="shared" si="162"/>
        <v>32.79006906843886</v>
      </c>
      <c r="H81" s="27">
        <f t="shared" si="163"/>
        <v>143.11560626294425</v>
      </c>
      <c r="I81" s="27">
        <f t="shared" si="164"/>
        <v>151.64946069949278</v>
      </c>
      <c r="J81" s="27">
        <f t="shared" si="117"/>
        <v>184.43952976793165</v>
      </c>
      <c r="K81" s="27">
        <f t="shared" si="118"/>
        <v>4.000000330139053</v>
      </c>
      <c r="L81" s="27">
        <f t="shared" si="119"/>
        <v>3.4135420563552765</v>
      </c>
      <c r="M81" s="27">
        <f t="shared" si="120"/>
        <v>7.354434708986752</v>
      </c>
      <c r="O81" s="25">
        <f t="shared" si="74"/>
        <v>0.013</v>
      </c>
      <c r="P81" s="25">
        <f t="shared" si="121"/>
        <v>0.11094010767513096</v>
      </c>
      <c r="Q81" s="25">
        <f t="shared" si="122"/>
        <v>0.3279006906843886</v>
      </c>
      <c r="S81" s="27">
        <f t="shared" si="174"/>
        <v>128.81692732938276</v>
      </c>
      <c r="T81" s="27">
        <f t="shared" si="77"/>
        <v>17.503099967221406</v>
      </c>
      <c r="U81" s="27">
        <f t="shared" si="123"/>
        <v>0.1583521754825656</v>
      </c>
      <c r="V81" s="27">
        <f t="shared" si="124"/>
        <v>0.45</v>
      </c>
      <c r="W81" s="27">
        <f t="shared" si="143"/>
        <v>267.6731970348905</v>
      </c>
      <c r="X81" s="27">
        <f t="shared" si="144"/>
        <v>21.703232192018106</v>
      </c>
      <c r="Y81" s="27">
        <f t="shared" si="145"/>
        <v>26.732149838519604</v>
      </c>
      <c r="AA81" s="24">
        <f t="shared" si="146"/>
        <v>0.799323787778541</v>
      </c>
      <c r="AB81" s="23">
        <f t="shared" si="125"/>
        <v>0.6298948878791731</v>
      </c>
      <c r="AC81" s="23">
        <f>IF('DadosReais&amp;Graficos'!soilClass&gt;0,0.8-0.1*'DadosReais&amp;Graficos'!soilClass,IF('DadosReais&amp;Graficos'!soilClass&lt;0,SWconst0,999))</f>
        <v>0.6000000000000001</v>
      </c>
      <c r="AD81" s="23">
        <f>IF('DadosReais&amp;Graficos'!soilClass&gt;0,11-2*'DadosReais&amp;Graficos'!soilClass,SWpower0)</f>
        <v>7</v>
      </c>
      <c r="AE81" s="24">
        <f>1/(1+((1-CD81/'DadosReais&amp;Graficos'!MaxASW)/AC81)^AD81)</f>
        <v>0.031646537867732076</v>
      </c>
      <c r="AF81" s="24">
        <f t="shared" si="126"/>
        <v>0.6</v>
      </c>
      <c r="AG81" s="27">
        <f t="shared" si="85"/>
        <v>1</v>
      </c>
      <c r="AH81" s="27">
        <f t="shared" si="127"/>
        <v>1</v>
      </c>
      <c r="AI81" s="27">
        <f t="shared" si="128"/>
        <v>0.9954754230237554</v>
      </c>
      <c r="AJ81" s="24">
        <f t="shared" si="129"/>
        <v>0.03150335067111788</v>
      </c>
      <c r="AM81" s="27">
        <f t="shared" si="165"/>
        <v>680.2499942779541</v>
      </c>
      <c r="AN81" s="27">
        <f t="shared" si="130"/>
        <v>1</v>
      </c>
      <c r="AO81" s="27">
        <f t="shared" si="131"/>
        <v>0.8185492529424258</v>
      </c>
      <c r="AP81" s="27">
        <f t="shared" si="132"/>
        <v>556.8181246303087</v>
      </c>
      <c r="AQ81" s="27">
        <f t="shared" si="133"/>
        <v>0.0013849757672384473</v>
      </c>
      <c r="AR81" s="27">
        <f t="shared" si="91"/>
        <v>0.07645066235156228</v>
      </c>
      <c r="AS81" s="27">
        <f t="shared" si="166"/>
        <v>1</v>
      </c>
      <c r="AT81" s="25">
        <f t="shared" si="167"/>
        <v>0.4256911443734186</v>
      </c>
      <c r="AU81" s="25">
        <f t="shared" si="92"/>
        <v>0.20007483785550673</v>
      </c>
      <c r="AW81" s="25">
        <f t="shared" si="93"/>
        <v>0.6</v>
      </c>
      <c r="AX81" s="25">
        <f t="shared" si="134"/>
        <v>0.0964994956888048</v>
      </c>
      <c r="AY81" s="25">
        <f t="shared" si="147"/>
        <v>0.47887918169399457</v>
      </c>
      <c r="AZ81" s="25">
        <f t="shared" si="135"/>
        <v>0.47525860281280385</v>
      </c>
      <c r="BA81" s="25">
        <f t="shared" si="136"/>
        <v>0.045862215493201575</v>
      </c>
      <c r="BB81" s="25">
        <f t="shared" si="148"/>
        <v>0.009175875328496614</v>
      </c>
      <c r="BC81" s="25">
        <f t="shared" si="149"/>
        <v>0.09581167462980371</v>
      </c>
      <c r="BD81" s="25">
        <f t="shared" si="150"/>
        <v>0.0950872878972064</v>
      </c>
      <c r="BG81" s="76">
        <f t="shared" si="168"/>
        <v>31990</v>
      </c>
      <c r="BH81" s="30">
        <f t="shared" si="151"/>
        <v>31</v>
      </c>
      <c r="BI81" s="27">
        <f>'PSP-1 Metdata'!D82</f>
        <v>22.050000190734863</v>
      </c>
      <c r="BJ81" s="28">
        <f>'PSP-1 Metdata'!E82</f>
        <v>27.700000762939453</v>
      </c>
      <c r="BK81" s="28">
        <f>'PSP-1 Metdata'!F82</f>
        <v>16.399999618530273</v>
      </c>
      <c r="BL81" s="28">
        <f>'PSP-1 Metdata'!G82</f>
        <v>18.080000305175783</v>
      </c>
      <c r="BM81" s="28">
        <f>'PSP-1 Metdata'!I82</f>
        <v>21.94354820251465</v>
      </c>
      <c r="BN81" s="28">
        <f>'PSP-1 Metdata'!J82</f>
        <v>5</v>
      </c>
      <c r="BO81" s="28">
        <f>'PSP-1 Metdata'!K82</f>
        <v>0</v>
      </c>
      <c r="BP81" s="25">
        <f>'PSP-1 Metdata'!L82</f>
        <v>37.138936947976845</v>
      </c>
      <c r="BQ81" s="25">
        <f>'PSP-1 Metdata'!M82</f>
        <v>18.650844221860588</v>
      </c>
      <c r="BR81" s="25">
        <f>'PSP-1 Metdata'!N82</f>
        <v>9.244046363058128</v>
      </c>
      <c r="BT81" s="25">
        <f t="shared" si="169"/>
        <v>48361.75661678577</v>
      </c>
      <c r="BU81" s="25">
        <f t="shared" si="152"/>
        <v>272.9900936211786</v>
      </c>
      <c r="BV81" s="25">
        <f t="shared" si="101"/>
        <v>0.2</v>
      </c>
      <c r="BW81" s="25">
        <f t="shared" si="153"/>
        <v>3394.6800530502014</v>
      </c>
      <c r="BX81" s="25">
        <f t="shared" si="154"/>
        <v>0.0006300670134223576</v>
      </c>
      <c r="BY81" s="25">
        <f t="shared" si="137"/>
        <v>320.6265526354932</v>
      </c>
      <c r="BZ81" s="25">
        <f t="shared" si="138"/>
        <v>12.460784130872762</v>
      </c>
      <c r="CA81" s="27">
        <f t="shared" si="155"/>
        <v>0.24496967861446137</v>
      </c>
      <c r="CB81" s="139">
        <f t="shared" si="170"/>
        <v>7.594060037048302</v>
      </c>
      <c r="CD81" s="27">
        <f>IF(CJ80&lt;'DadosReais&amp;Graficos'!MinASW,'DadosReais&amp;Graficos'!MinASW,IF(CJ80&gt;'DadosReais&amp;Graficos'!MaxASW,'DadosReais&amp;Graficos'!MaxASW,CJ80))</f>
        <v>4.374617599438157</v>
      </c>
      <c r="CE81" s="25">
        <f t="shared" si="156"/>
        <v>2.7120000457763673</v>
      </c>
      <c r="CG81" s="27">
        <f t="shared" si="157"/>
        <v>22.45461790461394</v>
      </c>
      <c r="CH81" s="27">
        <f t="shared" si="171"/>
        <v>10.306060082824668</v>
      </c>
      <c r="CI81" s="27">
        <f>MAX(CG81-CH81-'DadosReais&amp;Graficos'!MaxASW,0)</f>
        <v>0</v>
      </c>
      <c r="CJ81" s="27">
        <f t="shared" si="172"/>
        <v>12.148557821789272</v>
      </c>
      <c r="CK81" s="27">
        <f>poolFractn*Month!CI81</f>
        <v>0</v>
      </c>
      <c r="CQ81" s="25">
        <f>SIN(PI()*'DadosReais&amp;Graficos'!Lat/180)</f>
        <v>0.6293203910498374</v>
      </c>
      <c r="CR81" s="25">
        <f>COS(PI()*'DadosReais&amp;Graficos'!Lat/180)</f>
        <v>0.7771459614569709</v>
      </c>
      <c r="CS81" s="25">
        <f t="shared" si="139"/>
        <v>1987</v>
      </c>
      <c r="CT81" s="29">
        <f t="shared" si="175"/>
        <v>31778</v>
      </c>
      <c r="CU81" s="30">
        <f t="shared" si="173"/>
        <v>8</v>
      </c>
      <c r="CV81" s="27">
        <f t="shared" si="158"/>
        <v>228</v>
      </c>
      <c r="CW81" s="25">
        <f t="shared" si="176"/>
        <v>0.2245322171168967</v>
      </c>
      <c r="CX81" s="25">
        <f t="shared" si="140"/>
        <v>-0.18658678708195917</v>
      </c>
      <c r="CY81" s="25">
        <f t="shared" si="177"/>
        <v>0.5597425534350206</v>
      </c>
      <c r="CZ81" s="25">
        <f t="shared" si="178"/>
        <v>48361.75661678577</v>
      </c>
    </row>
    <row r="82" spans="1:104" ht="12.75">
      <c r="A82" s="149">
        <f t="shared" si="159"/>
        <v>32017</v>
      </c>
      <c r="B82" s="60">
        <f t="shared" si="141"/>
        <v>12.42</v>
      </c>
      <c r="C82" s="78">
        <f t="shared" si="142"/>
        <v>12.416666666666691</v>
      </c>
      <c r="D82" s="171">
        <f t="shared" si="160"/>
        <v>264430.5050088464</v>
      </c>
      <c r="E82" s="30">
        <f t="shared" si="179"/>
        <v>1111</v>
      </c>
      <c r="F82" s="27">
        <f t="shared" si="161"/>
        <v>8.432090204201902</v>
      </c>
      <c r="G82" s="27">
        <f t="shared" si="162"/>
        <v>32.55798005238427</v>
      </c>
      <c r="H82" s="27">
        <f t="shared" si="163"/>
        <v>143.21069355084146</v>
      </c>
      <c r="I82" s="27">
        <f t="shared" si="164"/>
        <v>151.64278375504335</v>
      </c>
      <c r="J82" s="27">
        <f t="shared" si="117"/>
        <v>184.20076380742762</v>
      </c>
      <c r="K82" s="27">
        <f t="shared" si="118"/>
        <v>4.000000262637661</v>
      </c>
      <c r="L82" s="27">
        <f t="shared" si="119"/>
        <v>3.372836303139206</v>
      </c>
      <c r="M82" s="27">
        <f t="shared" si="120"/>
        <v>7.465374816661884</v>
      </c>
      <c r="O82" s="25">
        <f t="shared" si="74"/>
        <v>0.013</v>
      </c>
      <c r="P82" s="25">
        <f t="shared" si="121"/>
        <v>0.10961717265462473</v>
      </c>
      <c r="Q82" s="25">
        <f t="shared" si="122"/>
        <v>0.3255798005238427</v>
      </c>
      <c r="S82" s="27">
        <f t="shared" si="174"/>
        <v>128.902514447202</v>
      </c>
      <c r="T82" s="27">
        <f t="shared" si="77"/>
        <v>17.507396316796182</v>
      </c>
      <c r="U82" s="27">
        <f t="shared" si="123"/>
        <v>0.15811440525943252</v>
      </c>
      <c r="V82" s="27">
        <f t="shared" si="124"/>
        <v>0.45</v>
      </c>
      <c r="W82" s="27">
        <f t="shared" si="143"/>
        <v>267.926710918354</v>
      </c>
      <c r="X82" s="27">
        <f t="shared" si="144"/>
        <v>21.577990141075446</v>
      </c>
      <c r="Y82" s="27">
        <f t="shared" si="145"/>
        <v>26.74527491425534</v>
      </c>
      <c r="AA82" s="24">
        <f t="shared" si="146"/>
        <v>0.8562348913265541</v>
      </c>
      <c r="AB82" s="23">
        <f t="shared" si="125"/>
        <v>0.6281868924805001</v>
      </c>
      <c r="AC82" s="23">
        <f>IF('DadosReais&amp;Graficos'!soilClass&gt;0,0.8-0.1*'DadosReais&amp;Graficos'!soilClass,IF('DadosReais&amp;Graficos'!soilClass&lt;0,SWconst0,999))</f>
        <v>0.6000000000000001</v>
      </c>
      <c r="AD82" s="23">
        <f>IF('DadosReais&amp;Graficos'!soilClass&gt;0,11-2*'DadosReais&amp;Graficos'!soilClass,SWpower0)</f>
        <v>7</v>
      </c>
      <c r="AE82" s="24">
        <f>1/(1+((1-CD82/'DadosReais&amp;Graficos'!MaxASW)/AC82)^AD82)</f>
        <v>0.04160187847453981</v>
      </c>
      <c r="AF82" s="24">
        <f t="shared" si="126"/>
        <v>0.6</v>
      </c>
      <c r="AG82" s="27">
        <f t="shared" si="85"/>
        <v>1</v>
      </c>
      <c r="AH82" s="27">
        <f t="shared" si="127"/>
        <v>1</v>
      </c>
      <c r="AI82" s="27">
        <f t="shared" si="128"/>
        <v>0.9953524662972766</v>
      </c>
      <c r="AJ82" s="24">
        <f t="shared" si="129"/>
        <v>0.04140853234223278</v>
      </c>
      <c r="AM82" s="27">
        <f t="shared" si="165"/>
        <v>527.2000122070312</v>
      </c>
      <c r="AN82" s="27">
        <f t="shared" si="130"/>
        <v>1</v>
      </c>
      <c r="AO82" s="27">
        <f t="shared" si="131"/>
        <v>0.8148183699657581</v>
      </c>
      <c r="AP82" s="27">
        <f t="shared" si="132"/>
        <v>429.572254592461</v>
      </c>
      <c r="AQ82" s="27">
        <f t="shared" si="133"/>
        <v>0.001950048660452408</v>
      </c>
      <c r="AR82" s="27">
        <f t="shared" si="91"/>
        <v>0.10764268605697291</v>
      </c>
      <c r="AS82" s="27">
        <f t="shared" si="166"/>
        <v>1</v>
      </c>
      <c r="AT82" s="25">
        <f t="shared" si="167"/>
        <v>0.4624031133988232</v>
      </c>
      <c r="AU82" s="25">
        <f t="shared" si="92"/>
        <v>0.21732946329744687</v>
      </c>
      <c r="AW82" s="25">
        <f t="shared" si="93"/>
        <v>0.6</v>
      </c>
      <c r="AX82" s="25">
        <f t="shared" si="134"/>
        <v>0.096487112585183</v>
      </c>
      <c r="AY82" s="25">
        <f t="shared" si="147"/>
        <v>0.4726023239378852</v>
      </c>
      <c r="AZ82" s="25">
        <f t="shared" si="135"/>
        <v>0.48098848587346515</v>
      </c>
      <c r="BA82" s="25">
        <f t="shared" si="136"/>
        <v>0.046409190188649696</v>
      </c>
      <c r="BB82" s="25">
        <f t="shared" si="148"/>
        <v>0.010086084395768375</v>
      </c>
      <c r="BC82" s="25">
        <f t="shared" si="149"/>
        <v>0.10271040941454672</v>
      </c>
      <c r="BD82" s="25">
        <f t="shared" si="150"/>
        <v>0.10453296948713178</v>
      </c>
      <c r="BG82" s="76">
        <f t="shared" si="168"/>
        <v>32021</v>
      </c>
      <c r="BH82" s="30">
        <f t="shared" si="151"/>
        <v>30</v>
      </c>
      <c r="BI82" s="27">
        <f>'PSP-1 Metdata'!D83</f>
        <v>21</v>
      </c>
      <c r="BJ82" s="28">
        <f>'PSP-1 Metdata'!E83</f>
        <v>27</v>
      </c>
      <c r="BK82" s="28">
        <f>'PSP-1 Metdata'!F83</f>
        <v>15</v>
      </c>
      <c r="BL82" s="28">
        <f>'PSP-1 Metdata'!G83</f>
        <v>78.24000244140626</v>
      </c>
      <c r="BM82" s="28">
        <f>'PSP-1 Metdata'!I83</f>
        <v>17.573333740234375</v>
      </c>
      <c r="BN82" s="28">
        <f>'PSP-1 Metdata'!J83</f>
        <v>6</v>
      </c>
      <c r="BO82" s="28">
        <f>'PSP-1 Metdata'!K83</f>
        <v>0</v>
      </c>
      <c r="BP82" s="25">
        <f>'PSP-1 Metdata'!L83</f>
        <v>35.648592398728994</v>
      </c>
      <c r="BQ82" s="25">
        <f>'PSP-1 Metdata'!M83</f>
        <v>17.05189010686335</v>
      </c>
      <c r="BR82" s="25">
        <f>'PSP-1 Metdata'!N83</f>
        <v>9.298351145932822</v>
      </c>
      <c r="BT82" s="25">
        <f t="shared" si="169"/>
        <v>43912.27946472623</v>
      </c>
      <c r="BU82" s="25">
        <f t="shared" si="152"/>
        <v>230.1534323327606</v>
      </c>
      <c r="BV82" s="25">
        <f t="shared" si="101"/>
        <v>0.2</v>
      </c>
      <c r="BW82" s="25">
        <f t="shared" si="153"/>
        <v>3414.6223332995355</v>
      </c>
      <c r="BX82" s="25">
        <f t="shared" si="154"/>
        <v>0.0008281706468446557</v>
      </c>
      <c r="BY82" s="25">
        <f t="shared" si="137"/>
        <v>244.69612252257843</v>
      </c>
      <c r="BZ82" s="25">
        <f t="shared" si="138"/>
        <v>16.0237924655705</v>
      </c>
      <c r="CA82" s="27">
        <f t="shared" si="155"/>
        <v>0.2860330296068725</v>
      </c>
      <c r="CB82" s="139">
        <f t="shared" si="170"/>
        <v>8.580990888206175</v>
      </c>
      <c r="CD82" s="27">
        <f>IF(CJ81&lt;'DadosReais&amp;Graficos'!MinASW,'DadosReais&amp;Graficos'!MinASW,IF(CJ81&gt;'DadosReais&amp;Graficos'!MaxASW,'DadosReais&amp;Graficos'!MaxASW,CJ81))</f>
        <v>12.148557821789272</v>
      </c>
      <c r="CE82" s="25">
        <f t="shared" si="156"/>
        <v>11.73600036621094</v>
      </c>
      <c r="CG82" s="27">
        <f t="shared" si="157"/>
        <v>90.38856026319553</v>
      </c>
      <c r="CH82" s="27">
        <f t="shared" si="171"/>
        <v>20.316991254417115</v>
      </c>
      <c r="CI82" s="27">
        <f>MAX(CG82-CH82-'DadosReais&amp;Graficos'!MaxASW,0)</f>
        <v>0</v>
      </c>
      <c r="CJ82" s="27">
        <f t="shared" si="172"/>
        <v>70.07156900877841</v>
      </c>
      <c r="CK82" s="27">
        <f>poolFractn*Month!CI82</f>
        <v>0</v>
      </c>
      <c r="CQ82" s="25">
        <f>SIN(PI()*'DadosReais&amp;Graficos'!Lat/180)</f>
        <v>0.6293203910498374</v>
      </c>
      <c r="CR82" s="25">
        <f>COS(PI()*'DadosReais&amp;Graficos'!Lat/180)</f>
        <v>0.7771459614569709</v>
      </c>
      <c r="CS82" s="25">
        <f t="shared" si="139"/>
        <v>1987</v>
      </c>
      <c r="CT82" s="29">
        <f t="shared" si="175"/>
        <v>31778</v>
      </c>
      <c r="CU82" s="30">
        <f t="shared" si="173"/>
        <v>9</v>
      </c>
      <c r="CV82" s="27">
        <f t="shared" si="158"/>
        <v>258</v>
      </c>
      <c r="CW82" s="25">
        <f t="shared" si="176"/>
        <v>0.031962948421114835</v>
      </c>
      <c r="CX82" s="25">
        <f t="shared" si="140"/>
        <v>-0.025896316893613495</v>
      </c>
      <c r="CY82" s="25">
        <f t="shared" si="177"/>
        <v>0.5082439752861831</v>
      </c>
      <c r="CZ82" s="25">
        <f t="shared" si="178"/>
        <v>43912.27946472623</v>
      </c>
    </row>
    <row r="83" spans="1:104" ht="12.75">
      <c r="A83" s="149">
        <f t="shared" si="159"/>
        <v>32048</v>
      </c>
      <c r="B83" s="60">
        <f t="shared" si="141"/>
        <v>12.5</v>
      </c>
      <c r="C83" s="78">
        <f t="shared" si="142"/>
        <v>12.500000000000025</v>
      </c>
      <c r="D83" s="171">
        <f t="shared" si="160"/>
        <v>264916.01665246976</v>
      </c>
      <c r="E83" s="30">
        <f t="shared" si="179"/>
        <v>1111</v>
      </c>
      <c r="F83" s="27">
        <f t="shared" si="161"/>
        <v>8.332559115943045</v>
      </c>
      <c r="G83" s="27">
        <f t="shared" si="162"/>
        <v>32.33511066127498</v>
      </c>
      <c r="H83" s="27">
        <f t="shared" si="163"/>
        <v>143.3152265203286</v>
      </c>
      <c r="I83" s="27">
        <f t="shared" si="164"/>
        <v>151.64778563627164</v>
      </c>
      <c r="J83" s="27">
        <f t="shared" si="117"/>
        <v>183.98289629754663</v>
      </c>
      <c r="K83" s="27">
        <f t="shared" si="118"/>
        <v>4.000000208616257</v>
      </c>
      <c r="L83" s="27">
        <f t="shared" si="119"/>
        <v>3.3330238202079476</v>
      </c>
      <c r="M83" s="27">
        <f t="shared" si="120"/>
        <v>7.5749919893165085</v>
      </c>
      <c r="O83" s="25">
        <f t="shared" si="74"/>
        <v>0.013</v>
      </c>
      <c r="P83" s="25">
        <f t="shared" si="121"/>
        <v>0.10832326850725958</v>
      </c>
      <c r="Q83" s="25">
        <f t="shared" si="122"/>
        <v>0.32335110661274985</v>
      </c>
      <c r="S83" s="27">
        <f t="shared" si="174"/>
        <v>128.99660352864862</v>
      </c>
      <c r="T83" s="27">
        <f t="shared" si="77"/>
        <v>17.512117377771915</v>
      </c>
      <c r="U83" s="27">
        <f t="shared" si="123"/>
        <v>0.1578834038930035</v>
      </c>
      <c r="V83" s="27">
        <f t="shared" si="124"/>
        <v>0.45</v>
      </c>
      <c r="W83" s="27">
        <f t="shared" si="143"/>
        <v>268.1958460613384</v>
      </c>
      <c r="X83" s="27">
        <f t="shared" si="144"/>
        <v>21.455667684907027</v>
      </c>
      <c r="Y83" s="27">
        <f t="shared" si="145"/>
        <v>26.75970117112553</v>
      </c>
      <c r="AA83" s="24">
        <f t="shared" si="146"/>
        <v>0.9988489952921128</v>
      </c>
      <c r="AB83" s="23">
        <f t="shared" si="125"/>
        <v>0.7909506572656186</v>
      </c>
      <c r="AC83" s="23">
        <f>IF('DadosReais&amp;Graficos'!soilClass&gt;0,0.8-0.1*'DadosReais&amp;Graficos'!soilClass,IF('DadosReais&amp;Graficos'!soilClass&lt;0,SWconst0,999))</f>
        <v>0.6000000000000001</v>
      </c>
      <c r="AD83" s="23">
        <f>IF('DadosReais&amp;Graficos'!soilClass&gt;0,11-2*'DadosReais&amp;Graficos'!soilClass,SWpower0)</f>
        <v>7</v>
      </c>
      <c r="AE83" s="24">
        <f>1/(1+((1-CD83/'DadosReais&amp;Graficos'!MaxASW)/AC83)^AD83)</f>
        <v>0.3643706071487125</v>
      </c>
      <c r="AF83" s="24">
        <f t="shared" si="126"/>
        <v>0.6</v>
      </c>
      <c r="AG83" s="27">
        <f t="shared" si="85"/>
        <v>1</v>
      </c>
      <c r="AH83" s="27">
        <f t="shared" si="127"/>
        <v>1</v>
      </c>
      <c r="AI83" s="27">
        <f t="shared" si="128"/>
        <v>0.9952270401539567</v>
      </c>
      <c r="AJ83" s="24">
        <f t="shared" si="129"/>
        <v>0.36263148087171326</v>
      </c>
      <c r="AM83" s="27">
        <f t="shared" si="165"/>
        <v>302.8599920272827</v>
      </c>
      <c r="AN83" s="27">
        <f t="shared" si="130"/>
        <v>1</v>
      </c>
      <c r="AO83" s="27">
        <f t="shared" si="131"/>
        <v>0.8110951651615028</v>
      </c>
      <c r="AP83" s="27">
        <f t="shared" si="132"/>
        <v>245.6482752541803</v>
      </c>
      <c r="AQ83" s="27">
        <f t="shared" si="133"/>
        <v>0.019921774968150098</v>
      </c>
      <c r="AR83" s="27">
        <f t="shared" si="91"/>
        <v>1.0996819782418854</v>
      </c>
      <c r="AS83" s="27">
        <f t="shared" si="166"/>
        <v>1</v>
      </c>
      <c r="AT83" s="25">
        <f t="shared" si="167"/>
        <v>2.701349812832242</v>
      </c>
      <c r="AU83" s="25">
        <f t="shared" si="92"/>
        <v>1.2696344120311536</v>
      </c>
      <c r="AW83" s="25">
        <f t="shared" si="93"/>
        <v>0.6</v>
      </c>
      <c r="AX83" s="25">
        <f t="shared" si="134"/>
        <v>0.09647351069756244</v>
      </c>
      <c r="AY83" s="25">
        <f t="shared" si="147"/>
        <v>0.3316344643291249</v>
      </c>
      <c r="AZ83" s="25">
        <f t="shared" si="135"/>
        <v>0.6095592179383061</v>
      </c>
      <c r="BA83" s="25">
        <f t="shared" si="136"/>
        <v>0.05880631773256895</v>
      </c>
      <c r="BB83" s="25">
        <f t="shared" si="148"/>
        <v>0.07466252463810738</v>
      </c>
      <c r="BC83" s="25">
        <f t="shared" si="149"/>
        <v>0.42105452812777505</v>
      </c>
      <c r="BD83" s="25">
        <f t="shared" si="150"/>
        <v>0.7739173592652712</v>
      </c>
      <c r="BG83" s="76">
        <f t="shared" si="168"/>
        <v>32051</v>
      </c>
      <c r="BH83" s="30">
        <f t="shared" si="151"/>
        <v>31</v>
      </c>
      <c r="BI83" s="27">
        <f>'PSP-1 Metdata'!D84</f>
        <v>15.600000381469727</v>
      </c>
      <c r="BJ83" s="28">
        <f>'PSP-1 Metdata'!E84</f>
        <v>19.700000762939453</v>
      </c>
      <c r="BK83" s="28">
        <f>'PSP-1 Metdata'!F84</f>
        <v>11.5</v>
      </c>
      <c r="BL83" s="28">
        <f>'PSP-1 Metdata'!G84</f>
        <v>139.04000244140624</v>
      </c>
      <c r="BM83" s="28">
        <f>'PSP-1 Metdata'!I84</f>
        <v>9.76967716217041</v>
      </c>
      <c r="BN83" s="28">
        <f>'PSP-1 Metdata'!J84</f>
        <v>19</v>
      </c>
      <c r="BO83" s="28">
        <f>'PSP-1 Metdata'!K84</f>
        <v>0</v>
      </c>
      <c r="BP83" s="25">
        <f>'PSP-1 Metdata'!L84</f>
        <v>22.949574018262</v>
      </c>
      <c r="BQ83" s="25">
        <f>'PSP-1 Metdata'!M84</f>
        <v>13.568786284046764</v>
      </c>
      <c r="BR83" s="25">
        <f>'PSP-1 Metdata'!N84</f>
        <v>4.690393867107617</v>
      </c>
      <c r="BT83" s="25">
        <f t="shared" si="169"/>
        <v>39224.4387806368</v>
      </c>
      <c r="BU83" s="25">
        <f t="shared" si="152"/>
        <v>109.25694216929321</v>
      </c>
      <c r="BV83" s="25">
        <f t="shared" si="101"/>
        <v>0.2</v>
      </c>
      <c r="BW83" s="25">
        <f t="shared" si="153"/>
        <v>1722.4477113452901</v>
      </c>
      <c r="BX83" s="25">
        <f t="shared" si="154"/>
        <v>0.007252629617434265</v>
      </c>
      <c r="BY83" s="25">
        <f t="shared" si="137"/>
        <v>30.77620484565062</v>
      </c>
      <c r="BZ83" s="25">
        <f t="shared" si="138"/>
        <v>63.7769664570947</v>
      </c>
      <c r="CA83" s="27">
        <f t="shared" si="155"/>
        <v>1.0169169578906658</v>
      </c>
      <c r="CB83" s="139">
        <f t="shared" si="170"/>
        <v>31.524425694610642</v>
      </c>
      <c r="CD83" s="27">
        <f>IF(CJ82&lt;'DadosReais&amp;Graficos'!MinASW,'DadosReais&amp;Graficos'!MinASW,IF(CJ82&gt;'DadosReais&amp;Graficos'!MaxASW,'DadosReais&amp;Graficos'!MaxASW,CJ82))</f>
        <v>70.07156900877841</v>
      </c>
      <c r="CE83" s="25">
        <f t="shared" si="156"/>
        <v>20.856000366210935</v>
      </c>
      <c r="CG83" s="27">
        <f t="shared" si="157"/>
        <v>209.11157145018467</v>
      </c>
      <c r="CH83" s="27">
        <f t="shared" si="171"/>
        <v>52.38042606082158</v>
      </c>
      <c r="CI83" s="27">
        <f>MAX(CG83-CH83-'DadosReais&amp;Graficos'!MaxASW,0)</f>
        <v>0</v>
      </c>
      <c r="CJ83" s="27">
        <f t="shared" si="172"/>
        <v>156.7311453893631</v>
      </c>
      <c r="CK83" s="27">
        <f>poolFractn*Month!CI83</f>
        <v>0</v>
      </c>
      <c r="CQ83" s="25">
        <f>SIN(PI()*'DadosReais&amp;Graficos'!Lat/180)</f>
        <v>0.6293203910498374</v>
      </c>
      <c r="CR83" s="25">
        <f>COS(PI()*'DadosReais&amp;Graficos'!Lat/180)</f>
        <v>0.7771459614569709</v>
      </c>
      <c r="CS83" s="25">
        <f t="shared" si="139"/>
        <v>1987</v>
      </c>
      <c r="CT83" s="29">
        <f t="shared" si="175"/>
        <v>31778</v>
      </c>
      <c r="CU83" s="30">
        <f t="shared" si="173"/>
        <v>10</v>
      </c>
      <c r="CV83" s="27">
        <f t="shared" si="158"/>
        <v>289</v>
      </c>
      <c r="CW83" s="25">
        <f t="shared" si="176"/>
        <v>-0.1751405350728837</v>
      </c>
      <c r="CX83" s="25">
        <f t="shared" si="140"/>
        <v>0.14405256542254885</v>
      </c>
      <c r="CY83" s="25">
        <f t="shared" si="177"/>
        <v>0.4539865599610741</v>
      </c>
      <c r="CZ83" s="25">
        <f t="shared" si="178"/>
        <v>39224.4387806368</v>
      </c>
    </row>
    <row r="84" spans="1:104" ht="12.75">
      <c r="A84" s="149">
        <f t="shared" si="159"/>
        <v>32078</v>
      </c>
      <c r="B84" s="60">
        <f t="shared" si="141"/>
        <v>12.58</v>
      </c>
      <c r="C84" s="78">
        <f t="shared" si="142"/>
        <v>12.583333333333359</v>
      </c>
      <c r="D84" s="171">
        <f t="shared" si="160"/>
        <v>263056.6285501458</v>
      </c>
      <c r="E84" s="30">
        <f t="shared" si="179"/>
        <v>1111</v>
      </c>
      <c r="F84" s="27">
        <f t="shared" si="161"/>
        <v>8.298898372073893</v>
      </c>
      <c r="G84" s="27">
        <f t="shared" si="162"/>
        <v>32.43281408279001</v>
      </c>
      <c r="H84" s="27">
        <f t="shared" si="163"/>
        <v>144.08914387959388</v>
      </c>
      <c r="I84" s="27">
        <f t="shared" si="164"/>
        <v>152.38804225166777</v>
      </c>
      <c r="J84" s="27">
        <f t="shared" si="117"/>
        <v>184.82085633445777</v>
      </c>
      <c r="K84" s="27">
        <f t="shared" si="118"/>
        <v>4.000000165451359</v>
      </c>
      <c r="L84" s="27">
        <f t="shared" si="119"/>
        <v>3.319559486135959</v>
      </c>
      <c r="M84" s="27">
        <f t="shared" si="120"/>
        <v>7.683315257823768</v>
      </c>
      <c r="O84" s="25">
        <f t="shared" si="74"/>
        <v>0.013</v>
      </c>
      <c r="P84" s="25">
        <f t="shared" si="121"/>
        <v>0.1078856788369606</v>
      </c>
      <c r="Q84" s="25">
        <f t="shared" si="122"/>
        <v>0.3243281408279001</v>
      </c>
      <c r="S84" s="27">
        <f t="shared" si="174"/>
        <v>129.69319881151563</v>
      </c>
      <c r="T84" s="27">
        <f t="shared" si="77"/>
        <v>17.547002741003347</v>
      </c>
      <c r="U84" s="27">
        <f t="shared" si="123"/>
        <v>0.15765897868706757</v>
      </c>
      <c r="V84" s="27">
        <f t="shared" si="124"/>
        <v>0.45</v>
      </c>
      <c r="W84" s="27">
        <f t="shared" si="143"/>
        <v>269.71599247920705</v>
      </c>
      <c r="X84" s="27">
        <f t="shared" si="144"/>
        <v>21.43438350828131</v>
      </c>
      <c r="Y84" s="27">
        <f t="shared" si="145"/>
        <v>26.866421757292322</v>
      </c>
      <c r="AA84" s="24">
        <f t="shared" si="146"/>
        <v>0.9182634430308795</v>
      </c>
      <c r="AB84" s="23">
        <f t="shared" si="125"/>
        <v>0.7827452027119547</v>
      </c>
      <c r="AC84" s="23">
        <f>IF('DadosReais&amp;Graficos'!soilClass&gt;0,0.8-0.1*'DadosReais&amp;Graficos'!soilClass,IF('DadosReais&amp;Graficos'!soilClass&lt;0,SWconst0,999))</f>
        <v>0.6000000000000001</v>
      </c>
      <c r="AD84" s="23">
        <f>IF('DadosReais&amp;Graficos'!soilClass&gt;0,11-2*'DadosReais&amp;Graficos'!soilClass,SWpower0)</f>
        <v>7</v>
      </c>
      <c r="AE84" s="24">
        <f>1/(1+((1-CD84/'DadosReais&amp;Graficos'!MaxASW)/AC84)^AD84)</f>
        <v>0.9992082007973975</v>
      </c>
      <c r="AF84" s="24">
        <f t="shared" si="126"/>
        <v>0.6</v>
      </c>
      <c r="AG84" s="27">
        <f t="shared" si="85"/>
        <v>1</v>
      </c>
      <c r="AH84" s="27">
        <f t="shared" si="127"/>
        <v>0.9333333333333333</v>
      </c>
      <c r="AI84" s="27">
        <f t="shared" si="128"/>
        <v>0.9950991128144069</v>
      </c>
      <c r="AJ84" s="24">
        <f t="shared" si="129"/>
        <v>0.7789090567783992</v>
      </c>
      <c r="AM84" s="27">
        <f t="shared" si="165"/>
        <v>241.12998962402344</v>
      </c>
      <c r="AN84" s="27">
        <f t="shared" si="130"/>
        <v>1</v>
      </c>
      <c r="AO84" s="27">
        <f t="shared" si="131"/>
        <v>0.809819135857609</v>
      </c>
      <c r="AP84" s="27">
        <f t="shared" si="132"/>
        <v>195.2716798266809</v>
      </c>
      <c r="AQ84" s="27">
        <f t="shared" si="133"/>
        <v>0.036715843897310405</v>
      </c>
      <c r="AR84" s="27">
        <f t="shared" si="91"/>
        <v>2.0267145831315343</v>
      </c>
      <c r="AS84" s="27">
        <f t="shared" si="166"/>
        <v>1</v>
      </c>
      <c r="AT84" s="25">
        <f t="shared" si="167"/>
        <v>3.95759961177326</v>
      </c>
      <c r="AU84" s="25">
        <f t="shared" si="92"/>
        <v>1.860071817533432</v>
      </c>
      <c r="AW84" s="25">
        <f t="shared" si="93"/>
        <v>0.6</v>
      </c>
      <c r="AX84" s="25">
        <f t="shared" si="134"/>
        <v>0.09637317499204537</v>
      </c>
      <c r="AY84" s="25">
        <f t="shared" si="147"/>
        <v>0.23918035614894506</v>
      </c>
      <c r="AZ84" s="25">
        <f t="shared" si="135"/>
        <v>0.6939422280708163</v>
      </c>
      <c r="BA84" s="25">
        <f t="shared" si="136"/>
        <v>0.06687741578023865</v>
      </c>
      <c r="BB84" s="25">
        <f t="shared" si="148"/>
        <v>0.12439679632228753</v>
      </c>
      <c r="BC84" s="25">
        <f t="shared" si="149"/>
        <v>0.44489263978026183</v>
      </c>
      <c r="BD84" s="25">
        <f t="shared" si="150"/>
        <v>1.2907823814308828</v>
      </c>
      <c r="BG84" s="76">
        <f t="shared" si="168"/>
        <v>32082</v>
      </c>
      <c r="BH84" s="30">
        <f t="shared" si="151"/>
        <v>30</v>
      </c>
      <c r="BI84" s="27">
        <f>'PSP-1 Metdata'!D85</f>
        <v>12.799999713897705</v>
      </c>
      <c r="BJ84" s="28">
        <f>'PSP-1 Metdata'!E85</f>
        <v>17.799999237060547</v>
      </c>
      <c r="BK84" s="28">
        <f>'PSP-1 Metdata'!F85</f>
        <v>7.800000190734863</v>
      </c>
      <c r="BL84" s="28">
        <f>'PSP-1 Metdata'!G85</f>
        <v>76</v>
      </c>
      <c r="BM84" s="28">
        <f>'PSP-1 Metdata'!I85</f>
        <v>8.037666320800781</v>
      </c>
      <c r="BN84" s="28">
        <f>'PSP-1 Metdata'!J85</f>
        <v>9</v>
      </c>
      <c r="BO84" s="28">
        <f>'PSP-1 Metdata'!K85</f>
        <v>2</v>
      </c>
      <c r="BP84" s="25">
        <f>'PSP-1 Metdata'!L85</f>
        <v>20.37967292015232</v>
      </c>
      <c r="BQ84" s="25">
        <f>'PSP-1 Metdata'!M85</f>
        <v>10.581751017917167</v>
      </c>
      <c r="BR84" s="25">
        <f>'PSP-1 Metdata'!N85</f>
        <v>4.8989609511175765</v>
      </c>
      <c r="BT84" s="25">
        <f t="shared" si="169"/>
        <v>35312.835538885876</v>
      </c>
      <c r="BU84" s="25">
        <f t="shared" si="152"/>
        <v>92.09053332915948</v>
      </c>
      <c r="BV84" s="25">
        <f t="shared" si="101"/>
        <v>0.2</v>
      </c>
      <c r="BW84" s="25">
        <f t="shared" si="153"/>
        <v>1799.0395513257668</v>
      </c>
      <c r="BX84" s="25">
        <f t="shared" si="154"/>
        <v>0.015529339028624307</v>
      </c>
      <c r="BY84" s="25">
        <f t="shared" si="137"/>
        <v>16.078848200258356</v>
      </c>
      <c r="BZ84" s="25">
        <f t="shared" si="138"/>
        <v>124.4889372497313</v>
      </c>
      <c r="CA84" s="27">
        <f t="shared" si="155"/>
        <v>1.7870151900448963</v>
      </c>
      <c r="CB84" s="139">
        <f t="shared" si="170"/>
        <v>53.610455701346886</v>
      </c>
      <c r="CD84" s="27">
        <f>IF(CJ83&lt;'DadosReais&amp;Graficos'!MinASW,'DadosReais&amp;Graficos'!MinASW,IF(CJ83&gt;'DadosReais&amp;Graficos'!MaxASW,'DadosReais&amp;Graficos'!MaxASW,CJ83))</f>
        <v>156.7311453893631</v>
      </c>
      <c r="CE84" s="25">
        <f t="shared" si="156"/>
        <v>11.4</v>
      </c>
      <c r="CG84" s="27">
        <f t="shared" si="157"/>
        <v>232.7311453893631</v>
      </c>
      <c r="CH84" s="27">
        <f t="shared" si="171"/>
        <v>65.01045570134688</v>
      </c>
      <c r="CI84" s="27">
        <f>MAX(CG84-CH84-'DadosReais&amp;Graficos'!MaxASW,0)</f>
        <v>0</v>
      </c>
      <c r="CJ84" s="27">
        <f t="shared" si="172"/>
        <v>167.7206896880162</v>
      </c>
      <c r="CK84" s="27">
        <f>poolFractn*Month!CI84</f>
        <v>0</v>
      </c>
      <c r="CQ84" s="25">
        <f>SIN(PI()*'DadosReais&amp;Graficos'!Lat/180)</f>
        <v>0.6293203910498374</v>
      </c>
      <c r="CR84" s="25">
        <f>COS(PI()*'DadosReais&amp;Graficos'!Lat/180)</f>
        <v>0.7771459614569709</v>
      </c>
      <c r="CS84" s="25">
        <f t="shared" si="139"/>
        <v>1987</v>
      </c>
      <c r="CT84" s="29">
        <f t="shared" si="175"/>
        <v>31778</v>
      </c>
      <c r="CU84" s="30">
        <f t="shared" si="173"/>
        <v>11</v>
      </c>
      <c r="CV84" s="27">
        <f t="shared" si="158"/>
        <v>319</v>
      </c>
      <c r="CW84" s="25">
        <f t="shared" si="176"/>
        <v>-0.3297749470179898</v>
      </c>
      <c r="CX84" s="25">
        <f t="shared" si="140"/>
        <v>0.2828703751751745</v>
      </c>
      <c r="CY84" s="25">
        <f t="shared" si="177"/>
        <v>0.40871337429266064</v>
      </c>
      <c r="CZ84" s="25">
        <f t="shared" si="178"/>
        <v>35312.835538885876</v>
      </c>
    </row>
    <row r="85" spans="1:104" ht="12.75">
      <c r="A85" s="149">
        <f t="shared" si="159"/>
        <v>32109</v>
      </c>
      <c r="B85" s="60">
        <f t="shared" si="141"/>
        <v>12.67</v>
      </c>
      <c r="C85" s="78">
        <f t="shared" si="142"/>
        <v>12.666666666666693</v>
      </c>
      <c r="D85" s="171">
        <f t="shared" si="160"/>
        <v>259937.34358442685</v>
      </c>
      <c r="E85" s="30">
        <f t="shared" si="179"/>
        <v>1111</v>
      </c>
      <c r="F85" s="27">
        <f t="shared" si="161"/>
        <v>8.315409489559219</v>
      </c>
      <c r="G85" s="27">
        <f t="shared" si="162"/>
        <v>32.55337858174237</v>
      </c>
      <c r="H85" s="27">
        <f t="shared" si="163"/>
        <v>145.37992626102476</v>
      </c>
      <c r="I85" s="27">
        <f t="shared" si="164"/>
        <v>153.69533575058398</v>
      </c>
      <c r="J85" s="27">
        <f t="shared" si="117"/>
        <v>186.24871433232636</v>
      </c>
      <c r="K85" s="27">
        <f t="shared" si="118"/>
        <v>4.00000013101577</v>
      </c>
      <c r="L85" s="27">
        <f t="shared" si="119"/>
        <v>3.326163904768665</v>
      </c>
      <c r="M85" s="27">
        <f t="shared" si="120"/>
        <v>7.791200936660728</v>
      </c>
      <c r="O85" s="25">
        <f t="shared" si="74"/>
        <v>0.013</v>
      </c>
      <c r="P85" s="25">
        <f t="shared" si="121"/>
        <v>0.10810032336426983</v>
      </c>
      <c r="Q85" s="25">
        <f t="shared" si="122"/>
        <v>0.3255337858174237</v>
      </c>
      <c r="S85" s="27">
        <f t="shared" si="174"/>
        <v>130.85501913683598</v>
      </c>
      <c r="T85" s="27">
        <f t="shared" si="77"/>
        <v>17.604924614482286</v>
      </c>
      <c r="U85" s="27">
        <f t="shared" si="123"/>
        <v>0.15744094243110085</v>
      </c>
      <c r="V85" s="27">
        <f t="shared" si="124"/>
        <v>0.45</v>
      </c>
      <c r="W85" s="27">
        <f t="shared" si="143"/>
        <v>272.20260813316685</v>
      </c>
      <c r="X85" s="27">
        <f t="shared" si="144"/>
        <v>21.489679589460497</v>
      </c>
      <c r="Y85" s="27">
        <f t="shared" si="145"/>
        <v>27.04408422210018</v>
      </c>
      <c r="AA85" s="24">
        <f t="shared" si="146"/>
        <v>0.9099389353192898</v>
      </c>
      <c r="AB85" s="23">
        <f t="shared" si="125"/>
        <v>0.8383534801390036</v>
      </c>
      <c r="AC85" s="23">
        <f>IF('DadosReais&amp;Graficos'!soilClass&gt;0,0.8-0.1*'DadosReais&amp;Graficos'!soilClass,IF('DadosReais&amp;Graficos'!soilClass&lt;0,SWconst0,999))</f>
        <v>0.6000000000000001</v>
      </c>
      <c r="AD85" s="23">
        <f>IF('DadosReais&amp;Graficos'!soilClass&gt;0,11-2*'DadosReais&amp;Graficos'!soilClass,SWpower0)</f>
        <v>7</v>
      </c>
      <c r="AE85" s="24">
        <f>1/(1+((1-CD85/'DadosReais&amp;Graficos'!MaxASW)/AC85)^AD85)</f>
        <v>0.9998981040903085</v>
      </c>
      <c r="AF85" s="24">
        <f t="shared" si="126"/>
        <v>0.6</v>
      </c>
      <c r="AG85" s="27">
        <f t="shared" si="85"/>
        <v>1</v>
      </c>
      <c r="AH85" s="27">
        <f t="shared" si="127"/>
        <v>1</v>
      </c>
      <c r="AI85" s="27">
        <f t="shared" si="128"/>
        <v>0.9949686523456692</v>
      </c>
      <c r="AJ85" s="24">
        <f t="shared" si="129"/>
        <v>0.8341354323232062</v>
      </c>
      <c r="AM85" s="27">
        <f t="shared" si="165"/>
        <v>162.27000045776367</v>
      </c>
      <c r="AN85" s="27">
        <f t="shared" si="130"/>
        <v>1</v>
      </c>
      <c r="AO85" s="27">
        <f t="shared" si="131"/>
        <v>0.8104461170975786</v>
      </c>
      <c r="AP85" s="27">
        <f t="shared" si="132"/>
        <v>131.51109179241686</v>
      </c>
      <c r="AQ85" s="27">
        <f t="shared" si="133"/>
        <v>0.041745676896015056</v>
      </c>
      <c r="AR85" s="27">
        <f t="shared" si="91"/>
        <v>2.3043613646600307</v>
      </c>
      <c r="AS85" s="27">
        <f t="shared" si="166"/>
        <v>1</v>
      </c>
      <c r="AT85" s="25">
        <f t="shared" si="167"/>
        <v>3.030490789507043</v>
      </c>
      <c r="AU85" s="25">
        <f t="shared" si="92"/>
        <v>1.4243306710683101</v>
      </c>
      <c r="AW85" s="25">
        <f t="shared" si="93"/>
        <v>0.6</v>
      </c>
      <c r="AX85" s="25">
        <f t="shared" si="134"/>
        <v>0.09620725188273789</v>
      </c>
      <c r="AY85" s="25">
        <f t="shared" si="147"/>
        <v>0.23064968979854647</v>
      </c>
      <c r="AZ85" s="25">
        <f t="shared" si="135"/>
        <v>0.7018292470516801</v>
      </c>
      <c r="BA85" s="25">
        <f t="shared" si="136"/>
        <v>0.06752106314977335</v>
      </c>
      <c r="BB85" s="25">
        <f t="shared" si="148"/>
        <v>0.09617232118736242</v>
      </c>
      <c r="BC85" s="25">
        <f t="shared" si="149"/>
        <v>0.32852142745246127</v>
      </c>
      <c r="BD85" s="25">
        <f t="shared" si="150"/>
        <v>0.9996369224284865</v>
      </c>
      <c r="BG85" s="76">
        <f t="shared" si="168"/>
        <v>32112</v>
      </c>
      <c r="BH85" s="30">
        <f t="shared" si="151"/>
        <v>31</v>
      </c>
      <c r="BI85" s="27">
        <f>'PSP-1 Metdata'!D86</f>
        <v>12.649999618530273</v>
      </c>
      <c r="BJ85" s="28">
        <f>'PSP-1 Metdata'!E86</f>
        <v>16.299999237060547</v>
      </c>
      <c r="BK85" s="28">
        <f>'PSP-1 Metdata'!F86</f>
        <v>9</v>
      </c>
      <c r="BL85" s="28">
        <f>'PSP-1 Metdata'!G86</f>
        <v>110.95999755859376</v>
      </c>
      <c r="BM85" s="28">
        <f>'PSP-1 Metdata'!I86</f>
        <v>5.234516143798828</v>
      </c>
      <c r="BN85" s="28">
        <f>'PSP-1 Metdata'!J86</f>
        <v>16</v>
      </c>
      <c r="BO85" s="28">
        <f>'PSP-1 Metdata'!K86</f>
        <v>0</v>
      </c>
      <c r="BP85" s="25">
        <f>'PSP-1 Metdata'!L86</f>
        <v>18.532427507601287</v>
      </c>
      <c r="BQ85" s="25">
        <f>'PSP-1 Metdata'!M86</f>
        <v>11.479809370392651</v>
      </c>
      <c r="BR85" s="25">
        <f>'PSP-1 Metdata'!N86</f>
        <v>3.526309068604318</v>
      </c>
      <c r="BT85" s="25">
        <f t="shared" si="169"/>
        <v>33294.53956575766</v>
      </c>
      <c r="BU85" s="25">
        <f t="shared" si="152"/>
        <v>35.774765762067645</v>
      </c>
      <c r="BV85" s="25">
        <f t="shared" si="101"/>
        <v>0.2</v>
      </c>
      <c r="BW85" s="25">
        <f t="shared" si="153"/>
        <v>1294.9622476926816</v>
      </c>
      <c r="BX85" s="25">
        <f t="shared" si="154"/>
        <v>0.016663490490582907</v>
      </c>
      <c r="BY85" s="25">
        <f t="shared" si="137"/>
        <v>15.202287282669058</v>
      </c>
      <c r="BZ85" s="25">
        <f t="shared" si="138"/>
        <v>90.35921416478169</v>
      </c>
      <c r="CA85" s="27">
        <f t="shared" si="155"/>
        <v>1.2229546468049162</v>
      </c>
      <c r="CB85" s="139">
        <f t="shared" si="170"/>
        <v>37.9115940509524</v>
      </c>
      <c r="CD85" s="27">
        <f>IF(CJ84&lt;'DadosReais&amp;Graficos'!MinASW,'DadosReais&amp;Graficos'!MinASW,IF(CJ84&gt;'DadosReais&amp;Graficos'!MaxASW,'DadosReais&amp;Graficos'!MaxASW,CJ84))</f>
        <v>167.7206896880162</v>
      </c>
      <c r="CE85" s="25">
        <f t="shared" si="156"/>
        <v>16.64399963378906</v>
      </c>
      <c r="CG85" s="27">
        <f t="shared" si="157"/>
        <v>278.68068724661</v>
      </c>
      <c r="CH85" s="27">
        <f t="shared" si="171"/>
        <v>54.55559368474147</v>
      </c>
      <c r="CI85" s="27">
        <f>MAX(CG85-CH85-'DadosReais&amp;Graficos'!MaxASW,0)</f>
        <v>24.12509356186851</v>
      </c>
      <c r="CJ85" s="27">
        <f t="shared" si="172"/>
        <v>200</v>
      </c>
      <c r="CK85" s="27">
        <f>poolFractn*Month!CI85</f>
        <v>0</v>
      </c>
      <c r="CQ85" s="25">
        <f>SIN(PI()*'DadosReais&amp;Graficos'!Lat/180)</f>
        <v>0.6293203910498374</v>
      </c>
      <c r="CR85" s="25">
        <f>COS(PI()*'DadosReais&amp;Graficos'!Lat/180)</f>
        <v>0.7771459614569709</v>
      </c>
      <c r="CS85" s="25">
        <f t="shared" si="139"/>
        <v>1987</v>
      </c>
      <c r="CT85" s="29">
        <f t="shared" si="175"/>
        <v>31778</v>
      </c>
      <c r="CU85" s="30">
        <f t="shared" si="173"/>
        <v>12</v>
      </c>
      <c r="CV85" s="27">
        <f t="shared" si="158"/>
        <v>350</v>
      </c>
      <c r="CW85" s="25">
        <f t="shared" si="176"/>
        <v>-0.39906495399591085</v>
      </c>
      <c r="CX85" s="25">
        <f t="shared" si="140"/>
        <v>0.352435862283474</v>
      </c>
      <c r="CY85" s="25">
        <f t="shared" si="177"/>
        <v>0.3853534671962692</v>
      </c>
      <c r="CZ85" s="25">
        <f t="shared" si="178"/>
        <v>33294.53956575766</v>
      </c>
    </row>
    <row r="86" spans="1:104" ht="12.75">
      <c r="A86" s="149">
        <f t="shared" si="159"/>
        <v>32139</v>
      </c>
      <c r="B86" s="60">
        <f t="shared" si="141"/>
        <v>12.75</v>
      </c>
      <c r="C86" s="78">
        <f t="shared" si="142"/>
        <v>12.750000000000027</v>
      </c>
      <c r="D86" s="171">
        <f t="shared" si="160"/>
        <v>257808.66111591872</v>
      </c>
      <c r="E86" s="30">
        <f t="shared" si="179"/>
        <v>1111</v>
      </c>
      <c r="F86" s="27">
        <f t="shared" si="161"/>
        <v>8.303481487382312</v>
      </c>
      <c r="G86" s="27">
        <f t="shared" si="162"/>
        <v>32.55636622337741</v>
      </c>
      <c r="H86" s="27">
        <f t="shared" si="163"/>
        <v>146.37956318345326</v>
      </c>
      <c r="I86" s="27">
        <f t="shared" si="164"/>
        <v>154.68304467083556</v>
      </c>
      <c r="J86" s="27">
        <f t="shared" si="117"/>
        <v>187.239410894213</v>
      </c>
      <c r="K86" s="27">
        <f t="shared" si="118"/>
        <v>4.000000103587619</v>
      </c>
      <c r="L86" s="27">
        <f t="shared" si="119"/>
        <v>3.321392680966713</v>
      </c>
      <c r="M86" s="27">
        <f t="shared" si="120"/>
        <v>7.899301260024998</v>
      </c>
      <c r="O86" s="25">
        <f t="shared" si="74"/>
        <v>0.013</v>
      </c>
      <c r="P86" s="25">
        <f t="shared" si="121"/>
        <v>0.10794525933597005</v>
      </c>
      <c r="Q86" s="25">
        <f t="shared" si="122"/>
        <v>0.3255636622337741</v>
      </c>
      <c r="S86" s="27">
        <f t="shared" si="174"/>
        <v>131.75478234334227</v>
      </c>
      <c r="T86" s="27">
        <f t="shared" si="77"/>
        <v>17.649559378041836</v>
      </c>
      <c r="U86" s="27">
        <f t="shared" si="123"/>
        <v>0.15722911324409966</v>
      </c>
      <c r="V86" s="27">
        <f t="shared" si="124"/>
        <v>0.45</v>
      </c>
      <c r="W86" s="27">
        <f t="shared" si="143"/>
        <v>274.14318726013386</v>
      </c>
      <c r="X86" s="27">
        <f t="shared" si="144"/>
        <v>21.50142645177516</v>
      </c>
      <c r="Y86" s="27">
        <f t="shared" si="145"/>
        <v>27.18139086259237</v>
      </c>
      <c r="AA86" s="24">
        <f t="shared" si="146"/>
        <v>0.7733343394485788</v>
      </c>
      <c r="AB86" s="23">
        <f t="shared" si="125"/>
        <v>0.8381736961821983</v>
      </c>
      <c r="AC86" s="23">
        <f>IF('DadosReais&amp;Graficos'!soilClass&gt;0,0.8-0.1*'DadosReais&amp;Graficos'!soilClass,IF('DadosReais&amp;Graficos'!soilClass&lt;0,SWconst0,999))</f>
        <v>0.6000000000000001</v>
      </c>
      <c r="AD86" s="23">
        <f>IF('DadosReais&amp;Graficos'!soilClass&gt;0,11-2*'DadosReais&amp;Graficos'!soilClass,SWpower0)</f>
        <v>7</v>
      </c>
      <c r="AE86" s="24">
        <f>1/(1+((1-CD86/'DadosReais&amp;Graficos'!MaxASW)/AC86)^AD86)</f>
        <v>1</v>
      </c>
      <c r="AF86" s="24">
        <f t="shared" si="126"/>
        <v>0.6</v>
      </c>
      <c r="AG86" s="27">
        <f t="shared" si="85"/>
        <v>1</v>
      </c>
      <c r="AH86" s="27">
        <f t="shared" si="127"/>
        <v>1</v>
      </c>
      <c r="AI86" s="27">
        <f t="shared" si="128"/>
        <v>0.994835626663134</v>
      </c>
      <c r="AJ86" s="24">
        <f t="shared" si="129"/>
        <v>0.8338450542939725</v>
      </c>
      <c r="AM86" s="27">
        <f t="shared" si="165"/>
        <v>211.54999780654907</v>
      </c>
      <c r="AN86" s="27">
        <f t="shared" si="130"/>
        <v>1</v>
      </c>
      <c r="AO86" s="27">
        <f t="shared" si="131"/>
        <v>0.8099933752802349</v>
      </c>
      <c r="AP86" s="27">
        <f t="shared" si="132"/>
        <v>171.35409676385297</v>
      </c>
      <c r="AQ86" s="27">
        <f t="shared" si="133"/>
        <v>0.03546625578456914</v>
      </c>
      <c r="AR86" s="27">
        <f t="shared" si="91"/>
        <v>1.9577373193082164</v>
      </c>
      <c r="AS86" s="27">
        <f t="shared" si="166"/>
        <v>1</v>
      </c>
      <c r="AT86" s="25">
        <f t="shared" si="167"/>
        <v>3.354663100509462</v>
      </c>
      <c r="AU86" s="25">
        <f t="shared" si="92"/>
        <v>1.5766916572394472</v>
      </c>
      <c r="AW86" s="25">
        <f t="shared" si="93"/>
        <v>0.6</v>
      </c>
      <c r="AX86" s="25">
        <f t="shared" si="134"/>
        <v>0.09607995715135045</v>
      </c>
      <c r="AY86" s="25">
        <f t="shared" si="147"/>
        <v>0.2306929520369351</v>
      </c>
      <c r="AZ86" s="25">
        <f t="shared" si="135"/>
        <v>0.7018712849767368</v>
      </c>
      <c r="BA86" s="25">
        <f t="shared" si="136"/>
        <v>0.06743576298632814</v>
      </c>
      <c r="BB86" s="25">
        <f t="shared" si="148"/>
        <v>0.10632540490012028</v>
      </c>
      <c r="BC86" s="25">
        <f t="shared" si="149"/>
        <v>0.3637316528605755</v>
      </c>
      <c r="BD86" s="25">
        <f t="shared" si="150"/>
        <v>1.1066345994787514</v>
      </c>
      <c r="BG86" s="76">
        <f t="shared" si="168"/>
        <v>32143</v>
      </c>
      <c r="BH86" s="30">
        <f t="shared" si="151"/>
        <v>31</v>
      </c>
      <c r="BI86" s="27">
        <f>'PSP-1 Metdata'!D87</f>
        <v>10.849999904632568</v>
      </c>
      <c r="BJ86" s="28">
        <f>'PSP-1 Metdata'!E87</f>
        <v>14.899999618530273</v>
      </c>
      <c r="BK86" s="28">
        <f>'PSP-1 Metdata'!F87</f>
        <v>6.800000190734863</v>
      </c>
      <c r="BL86" s="28">
        <f>'PSP-1 Metdata'!G87</f>
        <v>140</v>
      </c>
      <c r="BM86" s="28">
        <f>'PSP-1 Metdata'!I87</f>
        <v>6.824193477630615</v>
      </c>
      <c r="BN86" s="28">
        <f>'PSP-1 Metdata'!J87</f>
        <v>22</v>
      </c>
      <c r="BO86" s="28">
        <f>'PSP-1 Metdata'!K87</f>
        <v>0</v>
      </c>
      <c r="BP86" s="25">
        <f>'PSP-1 Metdata'!L87</f>
        <v>16.942424159353404</v>
      </c>
      <c r="BQ86" s="25">
        <f>'PSP-1 Metdata'!M87</f>
        <v>9.8812271474312</v>
      </c>
      <c r="BR86" s="25">
        <f>'PSP-1 Metdata'!N87</f>
        <v>3.530598505961102</v>
      </c>
      <c r="BT86" s="25">
        <f t="shared" si="169"/>
        <v>34557.10261977032</v>
      </c>
      <c r="BU86" s="25">
        <f t="shared" si="152"/>
        <v>67.9806861175093</v>
      </c>
      <c r="BV86" s="25">
        <f t="shared" si="101"/>
        <v>0.2</v>
      </c>
      <c r="BW86" s="25">
        <f t="shared" si="153"/>
        <v>1296.5374526258886</v>
      </c>
      <c r="BX86" s="25">
        <f t="shared" si="154"/>
        <v>0.016633794957311064</v>
      </c>
      <c r="BY86" s="25">
        <f t="shared" si="137"/>
        <v>15.223714402713245</v>
      </c>
      <c r="BZ86" s="25">
        <f t="shared" si="138"/>
        <v>94.98962761851857</v>
      </c>
      <c r="CA86" s="27">
        <f t="shared" si="155"/>
        <v>1.3343765485475263</v>
      </c>
      <c r="CB86" s="139">
        <f t="shared" si="170"/>
        <v>41.36567300497332</v>
      </c>
      <c r="CD86" s="27">
        <f>IF(CJ85&lt;'DadosReais&amp;Graficos'!MinASW,'DadosReais&amp;Graficos'!MinASW,IF(CJ85&gt;'DadosReais&amp;Graficos'!MaxASW,'DadosReais&amp;Graficos'!MaxASW,CJ85))</f>
        <v>200</v>
      </c>
      <c r="CE86" s="25">
        <f t="shared" si="156"/>
        <v>21</v>
      </c>
      <c r="CG86" s="27">
        <f t="shared" si="157"/>
        <v>340</v>
      </c>
      <c r="CH86" s="27">
        <f t="shared" si="171"/>
        <v>62.36567300497332</v>
      </c>
      <c r="CI86" s="27">
        <f>MAX(CG86-CH86-'DadosReais&amp;Graficos'!MaxASW,0)</f>
        <v>77.6343269950267</v>
      </c>
      <c r="CJ86" s="27">
        <f t="shared" si="172"/>
        <v>200</v>
      </c>
      <c r="CK86" s="27">
        <f>poolFractn*Month!CI86</f>
        <v>0</v>
      </c>
      <c r="CQ86" s="25">
        <f>SIN(PI()*'DadosReais&amp;Graficos'!Lat/180)</f>
        <v>0.6293203910498374</v>
      </c>
      <c r="CR86" s="25">
        <f>COS(PI()*'DadosReais&amp;Graficos'!Lat/180)</f>
        <v>0.7771459614569709</v>
      </c>
      <c r="CS86" s="25">
        <f t="shared" si="139"/>
        <v>1987</v>
      </c>
      <c r="CT86" s="29">
        <f t="shared" si="175"/>
        <v>31778</v>
      </c>
      <c r="CU86" s="30">
        <f t="shared" si="173"/>
        <v>1</v>
      </c>
      <c r="CV86" s="27">
        <f t="shared" si="158"/>
        <v>16</v>
      </c>
      <c r="CW86" s="25">
        <f t="shared" si="176"/>
        <v>-0.3566279806934116</v>
      </c>
      <c r="CX86" s="25">
        <f t="shared" si="140"/>
        <v>0.30911718809788097</v>
      </c>
      <c r="CY86" s="25">
        <f t="shared" si="177"/>
        <v>0.39996646550660087</v>
      </c>
      <c r="CZ86" s="25">
        <f t="shared" si="178"/>
        <v>34557.10261977032</v>
      </c>
    </row>
    <row r="87" spans="1:104" ht="12.75">
      <c r="A87" s="149">
        <f t="shared" si="159"/>
        <v>32170</v>
      </c>
      <c r="B87" s="60">
        <f t="shared" si="141"/>
        <v>12.83</v>
      </c>
      <c r="C87" s="78">
        <f t="shared" si="142"/>
        <v>12.83333333333336</v>
      </c>
      <c r="D87" s="171">
        <f t="shared" si="160"/>
        <v>255387.75435662275</v>
      </c>
      <c r="E87" s="30">
        <f t="shared" si="179"/>
        <v>1111</v>
      </c>
      <c r="F87" s="27">
        <f t="shared" si="161"/>
        <v>8.301861632946462</v>
      </c>
      <c r="G87" s="27">
        <f t="shared" si="162"/>
        <v>32.594534214004206</v>
      </c>
      <c r="H87" s="27">
        <f t="shared" si="163"/>
        <v>147.486197782932</v>
      </c>
      <c r="I87" s="27">
        <f t="shared" si="164"/>
        <v>155.78805941587848</v>
      </c>
      <c r="J87" s="27">
        <f t="shared" si="117"/>
        <v>188.38259362988268</v>
      </c>
      <c r="K87" s="27">
        <f t="shared" si="118"/>
        <v>4.000000081775494</v>
      </c>
      <c r="L87" s="27">
        <f t="shared" si="119"/>
        <v>3.3207447210674683</v>
      </c>
      <c r="M87" s="27">
        <f t="shared" si="120"/>
        <v>8.007246519360969</v>
      </c>
      <c r="O87" s="25">
        <f t="shared" si="74"/>
        <v>0.013</v>
      </c>
      <c r="P87" s="25">
        <f t="shared" si="121"/>
        <v>0.107924201228304</v>
      </c>
      <c r="Q87" s="25">
        <f t="shared" si="122"/>
        <v>0.32594534214004206</v>
      </c>
      <c r="S87" s="27">
        <f t="shared" si="174"/>
        <v>132.7508530899478</v>
      </c>
      <c r="T87" s="27">
        <f t="shared" si="77"/>
        <v>17.698748125464814</v>
      </c>
      <c r="U87" s="27">
        <f t="shared" si="123"/>
        <v>0.15702331442285938</v>
      </c>
      <c r="V87" s="27">
        <f t="shared" si="124"/>
        <v>0.45</v>
      </c>
      <c r="W87" s="27">
        <f t="shared" si="143"/>
        <v>276.28316927873476</v>
      </c>
      <c r="X87" s="27">
        <f t="shared" si="144"/>
        <v>21.52855864509617</v>
      </c>
      <c r="Y87" s="27">
        <f t="shared" si="145"/>
        <v>27.333109288495436</v>
      </c>
      <c r="AA87" s="24">
        <f t="shared" si="146"/>
        <v>0.7486596707821628</v>
      </c>
      <c r="AB87" s="23">
        <f t="shared" si="125"/>
        <v>0.8095626760065471</v>
      </c>
      <c r="AC87" s="23">
        <f>IF('DadosReais&amp;Graficos'!soilClass&gt;0,0.8-0.1*'DadosReais&amp;Graficos'!soilClass,IF('DadosReais&amp;Graficos'!soilClass&lt;0,SWconst0,999))</f>
        <v>0.6000000000000001</v>
      </c>
      <c r="AD87" s="23">
        <f>IF('DadosReais&amp;Graficos'!soilClass&gt;0,11-2*'DadosReais&amp;Graficos'!soilClass,SWpower0)</f>
        <v>7</v>
      </c>
      <c r="AE87" s="24">
        <f>1/(1+((1-CD87/'DadosReais&amp;Graficos'!MaxASW)/AC87)^AD87)</f>
        <v>1</v>
      </c>
      <c r="AF87" s="24">
        <f t="shared" si="126"/>
        <v>0.6</v>
      </c>
      <c r="AG87" s="27">
        <f t="shared" si="85"/>
        <v>1</v>
      </c>
      <c r="AH87" s="27">
        <f t="shared" si="127"/>
        <v>0.8666666666666667</v>
      </c>
      <c r="AI87" s="27">
        <f t="shared" si="128"/>
        <v>0.9947000035324925</v>
      </c>
      <c r="AJ87" s="24">
        <f t="shared" si="129"/>
        <v>0.8052719966834865</v>
      </c>
      <c r="AM87" s="27">
        <f t="shared" si="165"/>
        <v>303.0372428894043</v>
      </c>
      <c r="AN87" s="27">
        <f t="shared" si="130"/>
        <v>1</v>
      </c>
      <c r="AO87" s="27">
        <f t="shared" si="131"/>
        <v>0.8099318069706198</v>
      </c>
      <c r="AP87" s="27">
        <f t="shared" si="132"/>
        <v>245.43950171280983</v>
      </c>
      <c r="AQ87" s="27">
        <f t="shared" si="133"/>
        <v>0.028737025837861002</v>
      </c>
      <c r="AR87" s="27">
        <f t="shared" si="91"/>
        <v>1.5862838262499273</v>
      </c>
      <c r="AS87" s="27">
        <f t="shared" si="166"/>
        <v>1</v>
      </c>
      <c r="AT87" s="25">
        <f t="shared" si="167"/>
        <v>3.8933671188987153</v>
      </c>
      <c r="AU87" s="25">
        <f t="shared" si="92"/>
        <v>1.8298825458823962</v>
      </c>
      <c r="AW87" s="25">
        <f t="shared" si="93"/>
        <v>0.6</v>
      </c>
      <c r="AX87" s="25">
        <f t="shared" si="134"/>
        <v>0.09594024144017858</v>
      </c>
      <c r="AY87" s="25">
        <f t="shared" si="147"/>
        <v>0.2350307951878084</v>
      </c>
      <c r="AZ87" s="25">
        <f t="shared" si="135"/>
        <v>0.698002660990843</v>
      </c>
      <c r="BA87" s="25">
        <f t="shared" si="136"/>
        <v>0.0669665438213487</v>
      </c>
      <c r="BB87" s="25">
        <f t="shared" si="148"/>
        <v>0.1225409096967546</v>
      </c>
      <c r="BC87" s="25">
        <f t="shared" si="149"/>
        <v>0.43007874985903083</v>
      </c>
      <c r="BD87" s="25">
        <f t="shared" si="150"/>
        <v>1.277262886326611</v>
      </c>
      <c r="BG87" s="76">
        <f t="shared" si="168"/>
        <v>32174</v>
      </c>
      <c r="BH87" s="30">
        <f t="shared" si="151"/>
        <v>28</v>
      </c>
      <c r="BI87" s="27">
        <f>'PSP-1 Metdata'!D88</f>
        <v>10.599999904632568</v>
      </c>
      <c r="BJ87" s="28">
        <f>'PSP-1 Metdata'!E88</f>
        <v>15.5</v>
      </c>
      <c r="BK87" s="28">
        <f>'PSP-1 Metdata'!F88</f>
        <v>5.699999809265137</v>
      </c>
      <c r="BL87" s="28">
        <f>'PSP-1 Metdata'!G88</f>
        <v>55.6</v>
      </c>
      <c r="BM87" s="28">
        <f>'PSP-1 Metdata'!I88</f>
        <v>10.822758674621582</v>
      </c>
      <c r="BN87" s="28">
        <f>'PSP-1 Metdata'!J88</f>
        <v>12</v>
      </c>
      <c r="BO87" s="28">
        <f>'PSP-1 Metdata'!K88</f>
        <v>4</v>
      </c>
      <c r="BP87" s="25">
        <f>'PSP-1 Metdata'!L88</f>
        <v>17.60857268023594</v>
      </c>
      <c r="BQ87" s="25">
        <f>'PSP-1 Metdata'!M88</f>
        <v>9.158129348946959</v>
      </c>
      <c r="BR87" s="25">
        <f>'PSP-1 Metdata'!N88</f>
        <v>4.225221665644491</v>
      </c>
      <c r="BT87" s="25">
        <f t="shared" si="169"/>
        <v>37850.90307676919</v>
      </c>
      <c r="BU87" s="25">
        <f t="shared" si="152"/>
        <v>138.7450558877471</v>
      </c>
      <c r="BV87" s="25">
        <f t="shared" si="101"/>
        <v>0.2</v>
      </c>
      <c r="BW87" s="25">
        <f t="shared" si="153"/>
        <v>1551.6230820086278</v>
      </c>
      <c r="BX87" s="25">
        <f t="shared" si="154"/>
        <v>0.016060677069130017</v>
      </c>
      <c r="BY87" s="25">
        <f t="shared" si="137"/>
        <v>15.652775131405697</v>
      </c>
      <c r="BZ87" s="25">
        <f t="shared" si="138"/>
        <v>118.62830644235518</v>
      </c>
      <c r="CA87" s="27">
        <f t="shared" si="155"/>
        <v>1.8252798899637641</v>
      </c>
      <c r="CB87" s="139">
        <f t="shared" si="170"/>
        <v>51.1078369189854</v>
      </c>
      <c r="CD87" s="27">
        <f>IF(CJ86&lt;'DadosReais&amp;Graficos'!MinASW,'DadosReais&amp;Graficos'!MinASW,IF(CJ86&gt;'DadosReais&amp;Graficos'!MaxASW,'DadosReais&amp;Graficos'!MaxASW,CJ86))</f>
        <v>200</v>
      </c>
      <c r="CE87" s="25">
        <f t="shared" si="156"/>
        <v>8.34</v>
      </c>
      <c r="CG87" s="27">
        <f t="shared" si="157"/>
        <v>255.6</v>
      </c>
      <c r="CH87" s="27">
        <f t="shared" si="171"/>
        <v>59.4478369189854</v>
      </c>
      <c r="CI87" s="27">
        <f>MAX(CG87-CH87-'DadosReais&amp;Graficos'!MaxASW,0)</f>
        <v>0</v>
      </c>
      <c r="CJ87" s="27">
        <f t="shared" si="172"/>
        <v>196.15216308101458</v>
      </c>
      <c r="CK87" s="27">
        <f>poolFractn*Month!CI87</f>
        <v>0</v>
      </c>
      <c r="CQ87" s="25">
        <f>SIN(PI()*'DadosReais&amp;Graficos'!Lat/180)</f>
        <v>0.6293203910498374</v>
      </c>
      <c r="CR87" s="25">
        <f>COS(PI()*'DadosReais&amp;Graficos'!Lat/180)</f>
        <v>0.7771459614569709</v>
      </c>
      <c r="CS87" s="25">
        <f t="shared" si="139"/>
        <v>1988</v>
      </c>
      <c r="CT87" s="29">
        <f t="shared" si="175"/>
        <v>32143</v>
      </c>
      <c r="CU87" s="30">
        <f t="shared" si="173"/>
        <v>2</v>
      </c>
      <c r="CV87" s="27">
        <f t="shared" si="158"/>
        <v>44</v>
      </c>
      <c r="CW87" s="25">
        <f t="shared" si="176"/>
        <v>-0.2321535487640738</v>
      </c>
      <c r="CX87" s="25">
        <f t="shared" si="140"/>
        <v>0.19327466507755395</v>
      </c>
      <c r="CY87" s="25">
        <f t="shared" si="177"/>
        <v>0.43808915598112486</v>
      </c>
      <c r="CZ87" s="25">
        <f t="shared" si="178"/>
        <v>37850.90307676919</v>
      </c>
    </row>
    <row r="88" spans="1:104" ht="12.75">
      <c r="A88" s="149">
        <f t="shared" si="159"/>
        <v>32201</v>
      </c>
      <c r="B88" s="60">
        <f t="shared" si="141"/>
        <v>12.92</v>
      </c>
      <c r="C88" s="78">
        <f t="shared" si="142"/>
        <v>12.916666666666694</v>
      </c>
      <c r="D88" s="171">
        <f t="shared" si="160"/>
        <v>252481.76795221586</v>
      </c>
      <c r="E88" s="30">
        <f t="shared" si="179"/>
        <v>1111</v>
      </c>
      <c r="F88" s="27">
        <f t="shared" si="161"/>
        <v>8.316478341414912</v>
      </c>
      <c r="G88" s="27">
        <f t="shared" si="162"/>
        <v>32.69866762172319</v>
      </c>
      <c r="H88" s="27">
        <f t="shared" si="163"/>
        <v>148.76346066925862</v>
      </c>
      <c r="I88" s="27">
        <f t="shared" si="164"/>
        <v>157.07993901067354</v>
      </c>
      <c r="J88" s="27">
        <f t="shared" si="117"/>
        <v>189.77860663239673</v>
      </c>
      <c r="K88" s="27">
        <f t="shared" si="118"/>
        <v>4.000000064456919</v>
      </c>
      <c r="L88" s="27">
        <f t="shared" si="119"/>
        <v>3.326591390171422</v>
      </c>
      <c r="M88" s="27">
        <f t="shared" si="120"/>
        <v>8.115170720589273</v>
      </c>
      <c r="O88" s="25">
        <f t="shared" si="74"/>
        <v>0.013</v>
      </c>
      <c r="P88" s="25">
        <f t="shared" si="121"/>
        <v>0.10811421843839386</v>
      </c>
      <c r="Q88" s="25">
        <f t="shared" si="122"/>
        <v>0.3269866762172319</v>
      </c>
      <c r="S88" s="27">
        <f t="shared" si="174"/>
        <v>133.90050465279805</v>
      </c>
      <c r="T88" s="27">
        <f t="shared" si="77"/>
        <v>17.755232701583985</v>
      </c>
      <c r="U88" s="27">
        <f t="shared" si="123"/>
        <v>0.1568233742945727</v>
      </c>
      <c r="V88" s="27">
        <f t="shared" si="124"/>
        <v>0.45</v>
      </c>
      <c r="W88" s="27">
        <f t="shared" si="143"/>
        <v>278.7419395452612</v>
      </c>
      <c r="X88" s="27">
        <f t="shared" si="144"/>
        <v>21.580021126084688</v>
      </c>
      <c r="Y88" s="27">
        <f t="shared" si="145"/>
        <v>27.507851899160848</v>
      </c>
      <c r="AA88" s="24">
        <f t="shared" si="146"/>
        <v>0.865065263345885</v>
      </c>
      <c r="AB88" s="23">
        <f t="shared" si="125"/>
        <v>0.7312082742072266</v>
      </c>
      <c r="AC88" s="23">
        <f>IF('DadosReais&amp;Graficos'!soilClass&gt;0,0.8-0.1*'DadosReais&amp;Graficos'!soilClass,IF('DadosReais&amp;Graficos'!soilClass&lt;0,SWconst0,999))</f>
        <v>0.6000000000000001</v>
      </c>
      <c r="AD88" s="23">
        <f>IF('DadosReais&amp;Graficos'!soilClass&gt;0,11-2*'DadosReais&amp;Graficos'!soilClass,SWpower0)</f>
        <v>7</v>
      </c>
      <c r="AE88" s="24">
        <f>1/(1+((1-CD88/'DadosReais&amp;Graficos'!MaxASW)/AC88)^AD88)</f>
        <v>0.9999999999651463</v>
      </c>
      <c r="AF88" s="24">
        <f t="shared" si="126"/>
        <v>0.6</v>
      </c>
      <c r="AG88" s="27">
        <f t="shared" si="85"/>
        <v>1</v>
      </c>
      <c r="AH88" s="27">
        <f t="shared" si="127"/>
        <v>0.9666666666666667</v>
      </c>
      <c r="AI88" s="27">
        <f t="shared" si="128"/>
        <v>0.994561750571726</v>
      </c>
      <c r="AJ88" s="24">
        <f t="shared" si="129"/>
        <v>0.7272317812280699</v>
      </c>
      <c r="AM88" s="27">
        <f t="shared" si="165"/>
        <v>545.5000267028809</v>
      </c>
      <c r="AN88" s="27">
        <f t="shared" si="130"/>
        <v>1</v>
      </c>
      <c r="AO88" s="27">
        <f t="shared" si="131"/>
        <v>0.8104866285269016</v>
      </c>
      <c r="AP88" s="27">
        <f t="shared" si="132"/>
        <v>442.1204775037527</v>
      </c>
      <c r="AQ88" s="27">
        <f t="shared" si="133"/>
        <v>0.03344730696615946</v>
      </c>
      <c r="AR88" s="27">
        <f t="shared" si="91"/>
        <v>1.8462913445320022</v>
      </c>
      <c r="AS88" s="27">
        <f t="shared" si="166"/>
        <v>1</v>
      </c>
      <c r="AT88" s="25">
        <f t="shared" si="167"/>
        <v>8.162832108555342</v>
      </c>
      <c r="AU88" s="25">
        <f t="shared" si="92"/>
        <v>3.8365310910210106</v>
      </c>
      <c r="AW88" s="25">
        <f t="shared" si="93"/>
        <v>0.6</v>
      </c>
      <c r="AX88" s="25">
        <f t="shared" si="134"/>
        <v>0.09578053026978524</v>
      </c>
      <c r="AY88" s="25">
        <f t="shared" si="147"/>
        <v>0.2477547849778713</v>
      </c>
      <c r="AZ88" s="25">
        <f t="shared" si="135"/>
        <v>0.6864925906622225</v>
      </c>
      <c r="BA88" s="25">
        <f t="shared" si="136"/>
        <v>0.06575262435990625</v>
      </c>
      <c r="BB88" s="25">
        <f t="shared" si="148"/>
        <v>0.25226198767300584</v>
      </c>
      <c r="BC88" s="25">
        <f t="shared" si="149"/>
        <v>0.9505189355168284</v>
      </c>
      <c r="BD88" s="25">
        <f t="shared" si="150"/>
        <v>2.6337501678311765</v>
      </c>
      <c r="BG88" s="76">
        <f t="shared" si="168"/>
        <v>32203</v>
      </c>
      <c r="BH88" s="30">
        <f t="shared" si="151"/>
        <v>31</v>
      </c>
      <c r="BI88" s="27">
        <f>'PSP-1 Metdata'!D89</f>
        <v>11.950000286102295</v>
      </c>
      <c r="BJ88" s="28">
        <f>'PSP-1 Metdata'!E89</f>
        <v>18.600000381469727</v>
      </c>
      <c r="BK88" s="28">
        <f>'PSP-1 Metdata'!F89</f>
        <v>5.300000190734863</v>
      </c>
      <c r="BL88" s="28">
        <f>'PSP-1 Metdata'!G89</f>
        <v>6.55999984741211</v>
      </c>
      <c r="BM88" s="28">
        <f>'PSP-1 Metdata'!I89</f>
        <v>17.59677505493164</v>
      </c>
      <c r="BN88" s="28">
        <f>'PSP-1 Metdata'!J89</f>
        <v>2</v>
      </c>
      <c r="BO88" s="28">
        <f>'PSP-1 Metdata'!K89</f>
        <v>1</v>
      </c>
      <c r="BP88" s="25">
        <f>'PSP-1 Metdata'!L89</f>
        <v>21.42927026807466</v>
      </c>
      <c r="BQ88" s="25">
        <f>'PSP-1 Metdata'!M89</f>
        <v>8.906992548982615</v>
      </c>
      <c r="BR88" s="25">
        <f>'PSP-1 Metdata'!N89</f>
        <v>6.261138859546023</v>
      </c>
      <c r="BT88" s="25">
        <f t="shared" si="169"/>
        <v>42434.28237611158</v>
      </c>
      <c r="BU88" s="25">
        <f t="shared" si="152"/>
        <v>241.7463912591158</v>
      </c>
      <c r="BV88" s="25">
        <f t="shared" si="101"/>
        <v>0.2</v>
      </c>
      <c r="BW88" s="25">
        <f t="shared" si="153"/>
        <v>2299.270510024455</v>
      </c>
      <c r="BX88" s="25">
        <f t="shared" si="154"/>
        <v>0.01452974764019414</v>
      </c>
      <c r="BY88" s="25">
        <f t="shared" si="137"/>
        <v>16.964863984748995</v>
      </c>
      <c r="BZ88" s="25">
        <f t="shared" si="138"/>
        <v>166.88094719413087</v>
      </c>
      <c r="CA88" s="27">
        <f t="shared" si="155"/>
        <v>2.8786476570848434</v>
      </c>
      <c r="CB88" s="139">
        <f t="shared" si="170"/>
        <v>89.23807736963015</v>
      </c>
      <c r="CD88" s="27">
        <f>IF(CJ87&lt;'DadosReais&amp;Graficos'!MinASW,'DadosReais&amp;Graficos'!MinASW,IF(CJ87&gt;'DadosReais&amp;Graficos'!MaxASW,'DadosReais&amp;Graficos'!MaxASW,CJ87))</f>
        <v>196.15216308101458</v>
      </c>
      <c r="CE88" s="25">
        <f t="shared" si="156"/>
        <v>0.9839999771118164</v>
      </c>
      <c r="CG88" s="27">
        <f t="shared" si="157"/>
        <v>202.7121629284267</v>
      </c>
      <c r="CH88" s="27">
        <f t="shared" si="171"/>
        <v>90.22207734674197</v>
      </c>
      <c r="CI88" s="27">
        <f>MAX(CG88-CH88-'DadosReais&amp;Graficos'!MaxASW,0)</f>
        <v>0</v>
      </c>
      <c r="CJ88" s="27">
        <f t="shared" si="172"/>
        <v>112.49008558168472</v>
      </c>
      <c r="CK88" s="27">
        <f>poolFractn*Month!CI88</f>
        <v>0</v>
      </c>
      <c r="CQ88" s="25">
        <f>SIN(PI()*'DadosReais&amp;Graficos'!Lat/180)</f>
        <v>0.6293203910498374</v>
      </c>
      <c r="CR88" s="25">
        <f>COS(PI()*'DadosReais&amp;Graficos'!Lat/180)</f>
        <v>0.7771459614569709</v>
      </c>
      <c r="CS88" s="25">
        <f t="shared" si="139"/>
        <v>1988</v>
      </c>
      <c r="CT88" s="29">
        <f t="shared" si="175"/>
        <v>32143</v>
      </c>
      <c r="CU88" s="30">
        <f t="shared" si="173"/>
        <v>3</v>
      </c>
      <c r="CV88" s="27">
        <f t="shared" si="158"/>
        <v>75</v>
      </c>
      <c r="CW88" s="25">
        <f t="shared" si="176"/>
        <v>-0.03435761194480621</v>
      </c>
      <c r="CX88" s="25">
        <f t="shared" si="140"/>
        <v>0.027838681446559606</v>
      </c>
      <c r="CY88" s="25">
        <f t="shared" si="177"/>
        <v>0.49113752750129147</v>
      </c>
      <c r="CZ88" s="25">
        <f t="shared" si="178"/>
        <v>42434.28237611158</v>
      </c>
    </row>
    <row r="89" spans="1:104" ht="12.75">
      <c r="A89" s="149">
        <f t="shared" si="159"/>
        <v>32230</v>
      </c>
      <c r="B89" s="60">
        <f t="shared" si="141"/>
        <v>13</v>
      </c>
      <c r="C89" s="78">
        <f t="shared" si="142"/>
        <v>13.000000000000028</v>
      </c>
      <c r="D89" s="171">
        <f t="shared" si="160"/>
        <v>245624.55833522484</v>
      </c>
      <c r="E89" s="30">
        <f t="shared" si="179"/>
        <v>1111</v>
      </c>
      <c r="F89" s="27">
        <f t="shared" si="161"/>
        <v>8.460626110649525</v>
      </c>
      <c r="G89" s="27">
        <f t="shared" si="162"/>
        <v>33.32219988102278</v>
      </c>
      <c r="H89" s="27">
        <f t="shared" si="163"/>
        <v>151.3972108370898</v>
      </c>
      <c r="I89" s="27">
        <f t="shared" si="164"/>
        <v>159.85783694773932</v>
      </c>
      <c r="J89" s="27">
        <f t="shared" si="117"/>
        <v>193.18003682876213</v>
      </c>
      <c r="K89" s="27">
        <f t="shared" si="118"/>
        <v>4.000000050727909</v>
      </c>
      <c r="L89" s="27">
        <f t="shared" si="119"/>
        <v>3.384250487178797</v>
      </c>
      <c r="M89" s="27">
        <f t="shared" si="120"/>
        <v>8.223284939027666</v>
      </c>
      <c r="O89" s="25">
        <f t="shared" si="74"/>
        <v>0.013</v>
      </c>
      <c r="P89" s="25">
        <f t="shared" si="121"/>
        <v>0.10998813943844382</v>
      </c>
      <c r="Q89" s="25">
        <f t="shared" si="122"/>
        <v>0.33322199881022785</v>
      </c>
      <c r="S89" s="27">
        <f t="shared" si="174"/>
        <v>136.2711168650673</v>
      </c>
      <c r="T89" s="27">
        <f t="shared" si="77"/>
        <v>17.870747425278747</v>
      </c>
      <c r="U89" s="27">
        <f t="shared" si="123"/>
        <v>0.1566291260736238</v>
      </c>
      <c r="V89" s="27">
        <f t="shared" si="124"/>
        <v>0.45</v>
      </c>
      <c r="W89" s="27">
        <f t="shared" si="143"/>
        <v>283.742217808205</v>
      </c>
      <c r="X89" s="27">
        <f t="shared" si="144"/>
        <v>21.82632444678495</v>
      </c>
      <c r="Y89" s="27">
        <f t="shared" si="145"/>
        <v>27.86694586324986</v>
      </c>
      <c r="AA89" s="24">
        <f t="shared" si="146"/>
        <v>0.9627437705679736</v>
      </c>
      <c r="AB89" s="23">
        <f t="shared" si="125"/>
        <v>0.8090801877524969</v>
      </c>
      <c r="AC89" s="23">
        <f>IF('DadosReais&amp;Graficos'!soilClass&gt;0,0.8-0.1*'DadosReais&amp;Graficos'!soilClass,IF('DadosReais&amp;Graficos'!soilClass&lt;0,SWconst0,999))</f>
        <v>0.6000000000000001</v>
      </c>
      <c r="AD89" s="23">
        <f>IF('DadosReais&amp;Graficos'!soilClass&gt;0,11-2*'DadosReais&amp;Graficos'!soilClass,SWpower0)</f>
        <v>7</v>
      </c>
      <c r="AE89" s="24">
        <f>1/(1+((1-CD89/'DadosReais&amp;Graficos'!MaxASW)/AC89)^AD89)</f>
        <v>0.9011597413569885</v>
      </c>
      <c r="AF89" s="24">
        <f t="shared" si="126"/>
        <v>0.6</v>
      </c>
      <c r="AG89" s="27">
        <f t="shared" si="85"/>
        <v>1</v>
      </c>
      <c r="AH89" s="27">
        <f t="shared" si="127"/>
        <v>1</v>
      </c>
      <c r="AI89" s="27">
        <f t="shared" si="128"/>
        <v>0.9944208352531285</v>
      </c>
      <c r="AJ89" s="24">
        <f t="shared" si="129"/>
        <v>0.804566196091596</v>
      </c>
      <c r="AM89" s="27">
        <f t="shared" si="165"/>
        <v>534.1100120544434</v>
      </c>
      <c r="AN89" s="27">
        <f t="shared" si="130"/>
        <v>1</v>
      </c>
      <c r="AO89" s="27">
        <f t="shared" si="131"/>
        <v>0.8158722085315339</v>
      </c>
      <c r="AP89" s="27">
        <f t="shared" si="132"/>
        <v>435.76551513366286</v>
      </c>
      <c r="AQ89" s="27">
        <f t="shared" si="133"/>
        <v>0.042602510131321505</v>
      </c>
      <c r="AR89" s="27">
        <f t="shared" si="91"/>
        <v>2.3516585592489467</v>
      </c>
      <c r="AS89" s="27">
        <f t="shared" si="166"/>
        <v>1</v>
      </c>
      <c r="AT89" s="25">
        <f t="shared" si="167"/>
        <v>10.247717034896048</v>
      </c>
      <c r="AU89" s="25">
        <f t="shared" si="92"/>
        <v>4.816427006401143</v>
      </c>
      <c r="AW89" s="25">
        <f t="shared" si="93"/>
        <v>0.6</v>
      </c>
      <c r="AX89" s="25">
        <f t="shared" si="134"/>
        <v>0.09545630700906914</v>
      </c>
      <c r="AY89" s="25">
        <f t="shared" si="147"/>
        <v>0.23514001246779645</v>
      </c>
      <c r="AZ89" s="25">
        <f t="shared" si="135"/>
        <v>0.6982113139870502</v>
      </c>
      <c r="BA89" s="25">
        <f t="shared" si="136"/>
        <v>0.06664867354515336</v>
      </c>
      <c r="BB89" s="25">
        <f t="shared" si="148"/>
        <v>0.32100847120369</v>
      </c>
      <c r="BC89" s="25">
        <f t="shared" si="149"/>
        <v>1.1325347063353963</v>
      </c>
      <c r="BD89" s="25">
        <f t="shared" si="150"/>
        <v>3.3628838288620564</v>
      </c>
      <c r="BG89" s="76">
        <f t="shared" si="168"/>
        <v>32234</v>
      </c>
      <c r="BH89" s="30">
        <f t="shared" si="151"/>
        <v>30</v>
      </c>
      <c r="BI89" s="27">
        <f>'PSP-1 Metdata'!D90</f>
        <v>13.799999713897705</v>
      </c>
      <c r="BJ89" s="28">
        <f>'PSP-1 Metdata'!E90</f>
        <v>17.899999618530273</v>
      </c>
      <c r="BK89" s="28">
        <f>'PSP-1 Metdata'!F90</f>
        <v>9.699999809265137</v>
      </c>
      <c r="BL89" s="28">
        <f>'PSP-1 Metdata'!G90</f>
        <v>70.95999755859376</v>
      </c>
      <c r="BM89" s="28">
        <f>'PSP-1 Metdata'!I90</f>
        <v>17.803667068481445</v>
      </c>
      <c r="BN89" s="28">
        <f>'PSP-1 Metdata'!J90</f>
        <v>11</v>
      </c>
      <c r="BO89" s="28">
        <f>'PSP-1 Metdata'!K90</f>
        <v>0</v>
      </c>
      <c r="BP89" s="25">
        <f>'PSP-1 Metdata'!L90</f>
        <v>20.508361575311643</v>
      </c>
      <c r="BQ89" s="25">
        <f>'PSP-1 Metdata'!M90</f>
        <v>12.034071685691945</v>
      </c>
      <c r="BR89" s="25">
        <f>'PSP-1 Metdata'!N90</f>
        <v>4.237144944809849</v>
      </c>
      <c r="BT89" s="25">
        <f t="shared" si="169"/>
        <v>46978.19870062779</v>
      </c>
      <c r="BU89" s="25">
        <f t="shared" si="152"/>
        <v>213.1817747110602</v>
      </c>
      <c r="BV89" s="25">
        <f t="shared" si="101"/>
        <v>0.2</v>
      </c>
      <c r="BW89" s="25">
        <f t="shared" si="153"/>
        <v>1556.0016535085872</v>
      </c>
      <c r="BX89" s="25">
        <f t="shared" si="154"/>
        <v>0.01609132392183192</v>
      </c>
      <c r="BY89" s="25">
        <f t="shared" si="137"/>
        <v>15.629058104327253</v>
      </c>
      <c r="BZ89" s="25">
        <f t="shared" si="138"/>
        <v>129.56644887718812</v>
      </c>
      <c r="CA89" s="27">
        <f t="shared" si="155"/>
        <v>2.4743082846696245</v>
      </c>
      <c r="CB89" s="139">
        <f t="shared" si="170"/>
        <v>74.22924854008873</v>
      </c>
      <c r="CD89" s="27">
        <f>IF(CJ88&lt;'DadosReais&amp;Graficos'!MinASW,'DadosReais&amp;Graficos'!MinASW,IF(CJ88&gt;'DadosReais&amp;Graficos'!MaxASW,'DadosReais&amp;Graficos'!MaxASW,CJ88))</f>
        <v>112.49008558168472</v>
      </c>
      <c r="CE89" s="25">
        <f t="shared" si="156"/>
        <v>10.643999633789063</v>
      </c>
      <c r="CG89" s="27">
        <f t="shared" si="157"/>
        <v>183.45008314027848</v>
      </c>
      <c r="CH89" s="27">
        <f t="shared" si="171"/>
        <v>84.8732481738778</v>
      </c>
      <c r="CI89" s="27">
        <f>MAX(CG89-CH89-'DadosReais&amp;Graficos'!MaxASW,0)</f>
        <v>0</v>
      </c>
      <c r="CJ89" s="27">
        <f t="shared" si="172"/>
        <v>98.57683496640068</v>
      </c>
      <c r="CK89" s="27">
        <f>poolFractn*Month!CI89</f>
        <v>0</v>
      </c>
      <c r="CQ89" s="25">
        <f>SIN(PI()*'DadosReais&amp;Graficos'!Lat/180)</f>
        <v>0.6293203910498374</v>
      </c>
      <c r="CR89" s="25">
        <f>COS(PI()*'DadosReais&amp;Graficos'!Lat/180)</f>
        <v>0.7771459614569709</v>
      </c>
      <c r="CS89" s="25">
        <f t="shared" si="139"/>
        <v>1988</v>
      </c>
      <c r="CT89" s="29">
        <f t="shared" si="175"/>
        <v>32143</v>
      </c>
      <c r="CU89" s="30">
        <f t="shared" si="173"/>
        <v>4</v>
      </c>
      <c r="CV89" s="27">
        <f t="shared" si="158"/>
        <v>105</v>
      </c>
      <c r="CW89" s="25">
        <f t="shared" si="176"/>
        <v>0.16674832097168432</v>
      </c>
      <c r="CX89" s="25">
        <f t="shared" si="140"/>
        <v>-0.13694746197546548</v>
      </c>
      <c r="CY89" s="25">
        <f t="shared" si="177"/>
        <v>0.5437291516276365</v>
      </c>
      <c r="CZ89" s="25">
        <f t="shared" si="178"/>
        <v>46978.19870062779</v>
      </c>
    </row>
    <row r="90" spans="1:104" ht="12.75">
      <c r="A90" s="149">
        <f t="shared" si="159"/>
        <v>32261</v>
      </c>
      <c r="B90" s="60">
        <f t="shared" si="141"/>
        <v>13.08</v>
      </c>
      <c r="C90" s="78">
        <f t="shared" si="142"/>
        <v>13.083333333333362</v>
      </c>
      <c r="D90" s="171">
        <f t="shared" si="160"/>
        <v>237248.11806232497</v>
      </c>
      <c r="E90" s="30">
        <f t="shared" si="179"/>
        <v>1111</v>
      </c>
      <c r="F90" s="27">
        <f t="shared" si="161"/>
        <v>8.67164644241477</v>
      </c>
      <c r="G90" s="27">
        <f t="shared" si="162"/>
        <v>34.12151258854795</v>
      </c>
      <c r="H90" s="27">
        <f t="shared" si="163"/>
        <v>154.76009466595187</v>
      </c>
      <c r="I90" s="27">
        <f t="shared" si="164"/>
        <v>163.43174110836665</v>
      </c>
      <c r="J90" s="27">
        <f t="shared" si="117"/>
        <v>197.5532536969146</v>
      </c>
      <c r="K90" s="27">
        <f t="shared" si="118"/>
        <v>4.000000039861663</v>
      </c>
      <c r="L90" s="27">
        <f t="shared" si="119"/>
        <v>3.4686586115325335</v>
      </c>
      <c r="M90" s="27">
        <f t="shared" si="120"/>
        <v>8.33327307846611</v>
      </c>
      <c r="O90" s="25">
        <f t="shared" si="74"/>
        <v>0.013</v>
      </c>
      <c r="P90" s="25">
        <f t="shared" si="121"/>
        <v>0.11273140375139201</v>
      </c>
      <c r="Q90" s="25">
        <f t="shared" si="122"/>
        <v>0.34121512588547953</v>
      </c>
      <c r="S90" s="27">
        <f t="shared" si="174"/>
        <v>139.29801500085676</v>
      </c>
      <c r="T90" s="27">
        <f t="shared" si="77"/>
        <v>18.01641454900123</v>
      </c>
      <c r="U90" s="27">
        <f t="shared" si="123"/>
        <v>0.15644040772245973</v>
      </c>
      <c r="V90" s="27">
        <f t="shared" si="124"/>
        <v>0.45</v>
      </c>
      <c r="W90" s="27">
        <f t="shared" si="143"/>
        <v>290.1096941272086</v>
      </c>
      <c r="X90" s="27">
        <f t="shared" si="144"/>
        <v>22.173989360041375</v>
      </c>
      <c r="Y90" s="27">
        <f t="shared" si="145"/>
        <v>28.32309262919066</v>
      </c>
      <c r="AA90" s="24">
        <f t="shared" si="146"/>
        <v>0.995324925901046</v>
      </c>
      <c r="AB90" s="23">
        <f t="shared" si="125"/>
        <v>0.7950794136188114</v>
      </c>
      <c r="AC90" s="23">
        <f>IF('DadosReais&amp;Graficos'!soilClass&gt;0,0.8-0.1*'DadosReais&amp;Graficos'!soilClass,IF('DadosReais&amp;Graficos'!soilClass&lt;0,SWconst0,999))</f>
        <v>0.6000000000000001</v>
      </c>
      <c r="AD90" s="23">
        <f>IF('DadosReais&amp;Graficos'!soilClass&gt;0,11-2*'DadosReais&amp;Graficos'!soilClass,SWpower0)</f>
        <v>7</v>
      </c>
      <c r="AE90" s="24">
        <f>1/(1+((1-CD90/'DadosReais&amp;Graficos'!MaxASW)/AC90)^AD90)</f>
        <v>0.7644676755768677</v>
      </c>
      <c r="AF90" s="24">
        <f t="shared" si="126"/>
        <v>0.6</v>
      </c>
      <c r="AG90" s="27">
        <f t="shared" si="85"/>
        <v>1</v>
      </c>
      <c r="AH90" s="27">
        <f t="shared" si="127"/>
        <v>1</v>
      </c>
      <c r="AI90" s="27">
        <f t="shared" si="128"/>
        <v>0.9942772249053675</v>
      </c>
      <c r="AJ90" s="24">
        <f t="shared" si="129"/>
        <v>0.7600927990024248</v>
      </c>
      <c r="AM90" s="27">
        <f t="shared" si="165"/>
        <v>658.5000076293945</v>
      </c>
      <c r="AN90" s="27">
        <f t="shared" si="130"/>
        <v>1</v>
      </c>
      <c r="AO90" s="27">
        <f t="shared" si="131"/>
        <v>0.8234814494325094</v>
      </c>
      <c r="AP90" s="27">
        <f t="shared" si="132"/>
        <v>542.2625407339723</v>
      </c>
      <c r="AQ90" s="27">
        <f t="shared" si="133"/>
        <v>0.041609661986475394</v>
      </c>
      <c r="AR90" s="27">
        <f t="shared" si="91"/>
        <v>2.2968533416534416</v>
      </c>
      <c r="AS90" s="27">
        <f t="shared" si="166"/>
        <v>1</v>
      </c>
      <c r="AT90" s="25">
        <f t="shared" si="167"/>
        <v>12.454975287383098</v>
      </c>
      <c r="AU90" s="25">
        <f t="shared" si="92"/>
        <v>5.8538383850700555</v>
      </c>
      <c r="AW90" s="25">
        <f t="shared" si="93"/>
        <v>0.6</v>
      </c>
      <c r="AX90" s="25">
        <f t="shared" si="134"/>
        <v>0.09505197417471604</v>
      </c>
      <c r="AY90" s="25">
        <f t="shared" si="147"/>
        <v>0.24223281465650362</v>
      </c>
      <c r="AZ90" s="25">
        <f t="shared" si="135"/>
        <v>0.691991981398496</v>
      </c>
      <c r="BA90" s="25">
        <f t="shared" si="136"/>
        <v>0.06577520394500036</v>
      </c>
      <c r="BB90" s="25">
        <f t="shared" si="148"/>
        <v>0.38503741363905447</v>
      </c>
      <c r="BC90" s="25">
        <f t="shared" si="149"/>
        <v>1.4179917485598013</v>
      </c>
      <c r="BD90" s="25">
        <f t="shared" si="150"/>
        <v>4.0508092228712</v>
      </c>
      <c r="BG90" s="76">
        <f t="shared" si="168"/>
        <v>32264</v>
      </c>
      <c r="BH90" s="30">
        <f t="shared" si="151"/>
        <v>31</v>
      </c>
      <c r="BI90" s="27">
        <f>'PSP-1 Metdata'!D91</f>
        <v>15.199999809265137</v>
      </c>
      <c r="BJ90" s="28">
        <f>'PSP-1 Metdata'!E91</f>
        <v>19.299999237060547</v>
      </c>
      <c r="BK90" s="28">
        <f>'PSP-1 Metdata'!F91</f>
        <v>11.100000381469727</v>
      </c>
      <c r="BL90" s="28">
        <f>'PSP-1 Metdata'!G91</f>
        <v>81.75999755859375</v>
      </c>
      <c r="BM90" s="28">
        <f>'PSP-1 Metdata'!I91</f>
        <v>21.24193572998047</v>
      </c>
      <c r="BN90" s="28">
        <f>'PSP-1 Metdata'!J91</f>
        <v>15</v>
      </c>
      <c r="BO90" s="28">
        <f>'PSP-1 Metdata'!K91</f>
        <v>0</v>
      </c>
      <c r="BP90" s="25">
        <f>'PSP-1 Metdata'!L91</f>
        <v>22.386163269439102</v>
      </c>
      <c r="BQ90" s="25">
        <f>'PSP-1 Metdata'!M91</f>
        <v>13.213632150551243</v>
      </c>
      <c r="BR90" s="25">
        <f>'PSP-1 Metdata'!N91</f>
        <v>4.586265559443929</v>
      </c>
      <c r="BT90" s="25">
        <f t="shared" si="169"/>
        <v>51049.507507765746</v>
      </c>
      <c r="BU90" s="25">
        <f t="shared" si="152"/>
        <v>242.88369297978602</v>
      </c>
      <c r="BV90" s="25">
        <f t="shared" si="101"/>
        <v>0.2</v>
      </c>
      <c r="BW90" s="25">
        <f t="shared" si="153"/>
        <v>1684.2087978759232</v>
      </c>
      <c r="BX90" s="25">
        <f t="shared" si="154"/>
        <v>0.015201855980048496</v>
      </c>
      <c r="BY90" s="25">
        <f t="shared" si="137"/>
        <v>16.35628830206573</v>
      </c>
      <c r="BZ90" s="25">
        <f t="shared" si="138"/>
        <v>135.6391426624131</v>
      </c>
      <c r="CA90" s="27">
        <f t="shared" si="155"/>
        <v>2.8147607445901492</v>
      </c>
      <c r="CB90" s="139">
        <f t="shared" si="170"/>
        <v>87.25758308229463</v>
      </c>
      <c r="CD90" s="27">
        <f>IF(CJ89&lt;'DadosReais&amp;Graficos'!MinASW,'DadosReais&amp;Graficos'!MinASW,IF(CJ89&gt;'DadosReais&amp;Graficos'!MaxASW,'DadosReais&amp;Graficos'!MaxASW,CJ89))</f>
        <v>98.57683496640068</v>
      </c>
      <c r="CE90" s="25">
        <f t="shared" si="156"/>
        <v>12.263999633789062</v>
      </c>
      <c r="CG90" s="27">
        <f t="shared" si="157"/>
        <v>180.33683252499443</v>
      </c>
      <c r="CH90" s="27">
        <f t="shared" si="171"/>
        <v>99.52158271608369</v>
      </c>
      <c r="CI90" s="27">
        <f>MAX(CG90-CH90-'DadosReais&amp;Graficos'!MaxASW,0)</f>
        <v>0</v>
      </c>
      <c r="CJ90" s="27">
        <f t="shared" si="172"/>
        <v>80.81524980891075</v>
      </c>
      <c r="CK90" s="27">
        <f>poolFractn*Month!CI90</f>
        <v>0</v>
      </c>
      <c r="CQ90" s="25">
        <f>SIN(PI()*'DadosReais&amp;Graficos'!Lat/180)</f>
        <v>0.6293203910498374</v>
      </c>
      <c r="CR90" s="25">
        <f>COS(PI()*'DadosReais&amp;Graficos'!Lat/180)</f>
        <v>0.7771459614569709</v>
      </c>
      <c r="CS90" s="25">
        <f t="shared" si="139"/>
        <v>1988</v>
      </c>
      <c r="CT90" s="29">
        <f t="shared" si="175"/>
        <v>32143</v>
      </c>
      <c r="CU90" s="30">
        <f t="shared" si="173"/>
        <v>5</v>
      </c>
      <c r="CV90" s="27">
        <f t="shared" si="158"/>
        <v>136</v>
      </c>
      <c r="CW90" s="25">
        <f t="shared" si="176"/>
        <v>0.328409053946799</v>
      </c>
      <c r="CX90" s="25">
        <f t="shared" si="140"/>
        <v>-0.2815567874772962</v>
      </c>
      <c r="CY90" s="25">
        <f t="shared" si="177"/>
        <v>0.5908507813398813</v>
      </c>
      <c r="CZ90" s="25">
        <f t="shared" si="178"/>
        <v>51049.507507765746</v>
      </c>
    </row>
    <row r="91" spans="1:104" ht="12.75">
      <c r="A91" s="149">
        <f t="shared" si="159"/>
        <v>32291</v>
      </c>
      <c r="B91" s="60">
        <f t="shared" si="141"/>
        <v>13.17</v>
      </c>
      <c r="C91" s="78">
        <f t="shared" si="142"/>
        <v>13.166666666666696</v>
      </c>
      <c r="D91" s="171">
        <f t="shared" si="160"/>
        <v>227535.83088213773</v>
      </c>
      <c r="E91" s="30">
        <f t="shared" si="179"/>
        <v>1111</v>
      </c>
      <c r="F91" s="27">
        <f t="shared" si="161"/>
        <v>8.943952452302433</v>
      </c>
      <c r="G91" s="27">
        <f t="shared" si="162"/>
        <v>35.198289211222274</v>
      </c>
      <c r="H91" s="27">
        <f t="shared" si="163"/>
        <v>158.81090388882308</v>
      </c>
      <c r="I91" s="27">
        <f t="shared" si="164"/>
        <v>167.7548563411255</v>
      </c>
      <c r="J91" s="27">
        <f t="shared" si="117"/>
        <v>202.9531455523478</v>
      </c>
      <c r="K91" s="27">
        <f t="shared" si="118"/>
        <v>4.000000031274827</v>
      </c>
      <c r="L91" s="27">
        <f t="shared" si="119"/>
        <v>3.57758100889303</v>
      </c>
      <c r="M91" s="27">
        <f t="shared" si="120"/>
        <v>8.446004482217502</v>
      </c>
      <c r="O91" s="25">
        <f t="shared" si="74"/>
        <v>0.013</v>
      </c>
      <c r="P91" s="25">
        <f t="shared" si="121"/>
        <v>0.11627138187993162</v>
      </c>
      <c r="Q91" s="25">
        <f t="shared" si="122"/>
        <v>0.3519828921122227</v>
      </c>
      <c r="S91" s="27">
        <f t="shared" si="174"/>
        <v>142.94410791073184</v>
      </c>
      <c r="T91" s="27">
        <f t="shared" si="77"/>
        <v>18.189254226294576</v>
      </c>
      <c r="U91" s="27">
        <f t="shared" si="123"/>
        <v>0.15625706181642196</v>
      </c>
      <c r="V91" s="27">
        <f t="shared" si="124"/>
        <v>0.45</v>
      </c>
      <c r="W91" s="27">
        <f t="shared" si="143"/>
        <v>297.76795258387864</v>
      </c>
      <c r="X91" s="27">
        <f t="shared" si="144"/>
        <v>22.615287538016048</v>
      </c>
      <c r="Y91" s="27">
        <f t="shared" si="145"/>
        <v>28.869132004418333</v>
      </c>
      <c r="AA91" s="24">
        <f t="shared" si="146"/>
        <v>0.9786382000260244</v>
      </c>
      <c r="AB91" s="23">
        <f t="shared" si="125"/>
        <v>0.7622014867181651</v>
      </c>
      <c r="AC91" s="23">
        <f>IF('DadosReais&amp;Graficos'!soilClass&gt;0,0.8-0.1*'DadosReais&amp;Graficos'!soilClass,IF('DadosReais&amp;Graficos'!soilClass&lt;0,SWconst0,999))</f>
        <v>0.6000000000000001</v>
      </c>
      <c r="AD91" s="23">
        <f>IF('DadosReais&amp;Graficos'!soilClass&gt;0,11-2*'DadosReais&amp;Graficos'!soilClass,SWpower0)</f>
        <v>7</v>
      </c>
      <c r="AE91" s="24">
        <f>1/(1+((1-CD91/'DadosReais&amp;Graficos'!MaxASW)/AC91)^AD91)</f>
        <v>0.5119273660155607</v>
      </c>
      <c r="AF91" s="24">
        <f t="shared" si="126"/>
        <v>0.6</v>
      </c>
      <c r="AG91" s="27">
        <f t="shared" si="85"/>
        <v>1</v>
      </c>
      <c r="AH91" s="27">
        <f t="shared" si="127"/>
        <v>1</v>
      </c>
      <c r="AI91" s="27">
        <f t="shared" si="128"/>
        <v>0.9941308867155774</v>
      </c>
      <c r="AJ91" s="24">
        <f t="shared" si="129"/>
        <v>0.5089228063110193</v>
      </c>
      <c r="AM91" s="27">
        <f t="shared" si="165"/>
        <v>647.4100112915039</v>
      </c>
      <c r="AN91" s="27">
        <f t="shared" si="130"/>
        <v>1</v>
      </c>
      <c r="AO91" s="27">
        <f t="shared" si="131"/>
        <v>0.8328377705795837</v>
      </c>
      <c r="AP91" s="27">
        <f t="shared" si="132"/>
        <v>539.1875104549192</v>
      </c>
      <c r="AQ91" s="27">
        <f t="shared" si="133"/>
        <v>0.02739282145162249</v>
      </c>
      <c r="AR91" s="27">
        <f t="shared" si="91"/>
        <v>1.5120837441295614</v>
      </c>
      <c r="AS91" s="27">
        <f t="shared" si="166"/>
        <v>1</v>
      </c>
      <c r="AT91" s="25">
        <f t="shared" si="167"/>
        <v>8.152966695965713</v>
      </c>
      <c r="AU91" s="25">
        <f t="shared" si="92"/>
        <v>3.831894347103885</v>
      </c>
      <c r="AW91" s="25">
        <f t="shared" si="93"/>
        <v>0.6</v>
      </c>
      <c r="AX91" s="25">
        <f t="shared" si="134"/>
        <v>0.09457862820582581</v>
      </c>
      <c r="AY91" s="25">
        <f t="shared" si="147"/>
        <v>0.29197217901051536</v>
      </c>
      <c r="AZ91" s="25">
        <f t="shared" si="135"/>
        <v>0.646849666843985</v>
      </c>
      <c r="BA91" s="25">
        <f t="shared" si="136"/>
        <v>0.06117815414549954</v>
      </c>
      <c r="BB91" s="25">
        <f t="shared" si="148"/>
        <v>0.2344282230363898</v>
      </c>
      <c r="BC91" s="25">
        <f t="shared" si="149"/>
        <v>1.1188065422619973</v>
      </c>
      <c r="BD91" s="25">
        <f t="shared" si="150"/>
        <v>2.4786595818054975</v>
      </c>
      <c r="BG91" s="76">
        <f t="shared" si="168"/>
        <v>32295</v>
      </c>
      <c r="BH91" s="30">
        <f t="shared" si="151"/>
        <v>30</v>
      </c>
      <c r="BI91" s="27">
        <f>'PSP-1 Metdata'!D92</f>
        <v>17.800000190734863</v>
      </c>
      <c r="BJ91" s="28">
        <f>'PSP-1 Metdata'!E92</f>
        <v>22</v>
      </c>
      <c r="BK91" s="28">
        <f>'PSP-1 Metdata'!F92</f>
        <v>13.600000381469727</v>
      </c>
      <c r="BL91" s="28">
        <f>'PSP-1 Metdata'!G92</f>
        <v>78.47999877929688</v>
      </c>
      <c r="BM91" s="28">
        <f>'PSP-1 Metdata'!I92</f>
        <v>21.580333709716797</v>
      </c>
      <c r="BN91" s="28">
        <f>'PSP-1 Metdata'!J92</f>
        <v>9</v>
      </c>
      <c r="BO91" s="28">
        <f>'PSP-1 Metdata'!K92</f>
        <v>0</v>
      </c>
      <c r="BP91" s="25">
        <f>'PSP-1 Metdata'!L92</f>
        <v>26.436203151442896</v>
      </c>
      <c r="BQ91" s="25">
        <f>'PSP-1 Metdata'!M92</f>
        <v>15.574429552141675</v>
      </c>
      <c r="BR91" s="25">
        <f>'PSP-1 Metdata'!N92</f>
        <v>5.430886799650611</v>
      </c>
      <c r="BT91" s="25">
        <f t="shared" si="169"/>
        <v>53082.57808162483</v>
      </c>
      <c r="BU91" s="25">
        <f t="shared" si="152"/>
        <v>235.2341463375471</v>
      </c>
      <c r="BV91" s="25">
        <f t="shared" si="101"/>
        <v>0.2</v>
      </c>
      <c r="BW91" s="25">
        <f t="shared" si="153"/>
        <v>1994.3780423715343</v>
      </c>
      <c r="BX91" s="25">
        <f t="shared" si="154"/>
        <v>0.010178456126220385</v>
      </c>
      <c r="BY91" s="25">
        <f t="shared" si="137"/>
        <v>22.84934539382516</v>
      </c>
      <c r="BZ91" s="25">
        <f t="shared" si="138"/>
        <v>109.9328283160775</v>
      </c>
      <c r="CA91" s="27">
        <f t="shared" si="155"/>
        <v>2.3721617653748135</v>
      </c>
      <c r="CB91" s="139">
        <f t="shared" si="170"/>
        <v>71.1648529612444</v>
      </c>
      <c r="CD91" s="27">
        <f>IF(CJ90&lt;'DadosReais&amp;Graficos'!MinASW,'DadosReais&amp;Graficos'!MinASW,IF(CJ90&gt;'DadosReais&amp;Graficos'!MaxASW,'DadosReais&amp;Graficos'!MaxASW,CJ90))</f>
        <v>80.81524980891075</v>
      </c>
      <c r="CE91" s="25">
        <f t="shared" si="156"/>
        <v>11.771999816894532</v>
      </c>
      <c r="CG91" s="27">
        <f t="shared" si="157"/>
        <v>159.29524858820764</v>
      </c>
      <c r="CH91" s="27">
        <f t="shared" si="171"/>
        <v>82.93685277813894</v>
      </c>
      <c r="CI91" s="27">
        <f>MAX(CG91-CH91-'DadosReais&amp;Graficos'!MaxASW,0)</f>
        <v>0</v>
      </c>
      <c r="CJ91" s="27">
        <f t="shared" si="172"/>
        <v>76.3583958100687</v>
      </c>
      <c r="CK91" s="27">
        <f>poolFractn*Month!CI91</f>
        <v>0</v>
      </c>
      <c r="CQ91" s="25">
        <f>SIN(PI()*'DadosReais&amp;Graficos'!Lat/180)</f>
        <v>0.6293203910498374</v>
      </c>
      <c r="CR91" s="25">
        <f>COS(PI()*'DadosReais&amp;Graficos'!Lat/180)</f>
        <v>0.7771459614569709</v>
      </c>
      <c r="CS91" s="25">
        <f t="shared" si="139"/>
        <v>1988</v>
      </c>
      <c r="CT91" s="29">
        <f t="shared" si="175"/>
        <v>32143</v>
      </c>
      <c r="CU91" s="30">
        <f t="shared" si="173"/>
        <v>6</v>
      </c>
      <c r="CV91" s="27">
        <f t="shared" si="158"/>
        <v>166</v>
      </c>
      <c r="CW91" s="25">
        <f t="shared" si="176"/>
        <v>0.3983231954255811</v>
      </c>
      <c r="CX91" s="25">
        <f t="shared" si="140"/>
        <v>-0.3516571006926921</v>
      </c>
      <c r="CY91" s="25">
        <f t="shared" si="177"/>
        <v>0.6143816907595466</v>
      </c>
      <c r="CZ91" s="25">
        <f t="shared" si="178"/>
        <v>53082.57808162483</v>
      </c>
    </row>
    <row r="92" spans="1:104" ht="12.75">
      <c r="A92" s="149">
        <f t="shared" si="159"/>
        <v>32322</v>
      </c>
      <c r="B92" s="60">
        <f t="shared" si="141"/>
        <v>13.25</v>
      </c>
      <c r="C92" s="78">
        <f t="shared" si="142"/>
        <v>13.25000000000003</v>
      </c>
      <c r="D92" s="171">
        <f t="shared" si="160"/>
        <v>221811.8240536774</v>
      </c>
      <c r="E92" s="30">
        <f t="shared" si="179"/>
        <v>1111</v>
      </c>
      <c r="F92" s="27">
        <f t="shared" si="161"/>
        <v>9.062109293458892</v>
      </c>
      <c r="G92" s="27">
        <f t="shared" si="162"/>
        <v>35.96511286137205</v>
      </c>
      <c r="H92" s="27">
        <f t="shared" si="163"/>
        <v>161.28956347062856</v>
      </c>
      <c r="I92" s="27">
        <f t="shared" si="164"/>
        <v>170.35167276408745</v>
      </c>
      <c r="J92" s="27">
        <f t="shared" si="117"/>
        <v>206.3167856254595</v>
      </c>
      <c r="K92" s="27">
        <f t="shared" si="118"/>
        <v>4.000000024499965</v>
      </c>
      <c r="L92" s="27">
        <f t="shared" si="119"/>
        <v>3.624843739585693</v>
      </c>
      <c r="M92" s="27">
        <f t="shared" si="120"/>
        <v>8.562275864097433</v>
      </c>
      <c r="O92" s="25">
        <f t="shared" si="74"/>
        <v>0.013</v>
      </c>
      <c r="P92" s="25">
        <f t="shared" si="121"/>
        <v>0.11780742081496559</v>
      </c>
      <c r="Q92" s="25">
        <f t="shared" si="122"/>
        <v>0.3596511286137205</v>
      </c>
      <c r="S92" s="27">
        <f t="shared" si="174"/>
        <v>145.1751246360293</v>
      </c>
      <c r="T92" s="27">
        <f t="shared" si="77"/>
        <v>18.293646303958127</v>
      </c>
      <c r="U92" s="27">
        <f t="shared" si="123"/>
        <v>0.15607893541242654</v>
      </c>
      <c r="V92" s="27">
        <f t="shared" si="124"/>
        <v>0.45</v>
      </c>
      <c r="W92" s="27">
        <f t="shared" si="143"/>
        <v>302.4792446911063</v>
      </c>
      <c r="X92" s="27">
        <f t="shared" si="144"/>
        <v>22.82862224083816</v>
      </c>
      <c r="Y92" s="27">
        <f t="shared" si="145"/>
        <v>29.20145534178542</v>
      </c>
      <c r="AA92" s="24">
        <f t="shared" si="146"/>
        <v>0.9363084656514326</v>
      </c>
      <c r="AB92" s="23">
        <f t="shared" si="125"/>
        <v>0.7097000184673066</v>
      </c>
      <c r="AC92" s="23">
        <f>IF('DadosReais&amp;Graficos'!soilClass&gt;0,0.8-0.1*'DadosReais&amp;Graficos'!soilClass,IF('DadosReais&amp;Graficos'!soilClass&lt;0,SWconst0,999))</f>
        <v>0.6000000000000001</v>
      </c>
      <c r="AD92" s="23">
        <f>IF('DadosReais&amp;Graficos'!soilClass&gt;0,11-2*'DadosReais&amp;Graficos'!soilClass,SWpower0)</f>
        <v>7</v>
      </c>
      <c r="AE92" s="24">
        <f>1/(1+((1-CD92/'DadosReais&amp;Graficos'!MaxASW)/AC92)^AD92)</f>
        <v>0.44787323210526353</v>
      </c>
      <c r="AF92" s="24">
        <f t="shared" si="126"/>
        <v>0.6</v>
      </c>
      <c r="AG92" s="27">
        <f t="shared" si="85"/>
        <v>1</v>
      </c>
      <c r="AH92" s="27">
        <f t="shared" si="127"/>
        <v>1</v>
      </c>
      <c r="AI92" s="27">
        <f t="shared" si="128"/>
        <v>0.9939817877314926</v>
      </c>
      <c r="AJ92" s="24">
        <f t="shared" si="129"/>
        <v>0.44517783592507154</v>
      </c>
      <c r="AM92" s="27">
        <f t="shared" si="165"/>
        <v>802.2400035858154</v>
      </c>
      <c r="AN92" s="27">
        <f t="shared" si="130"/>
        <v>1</v>
      </c>
      <c r="AO92" s="27">
        <f t="shared" si="131"/>
        <v>0.8367417326420715</v>
      </c>
      <c r="AP92" s="27">
        <f t="shared" si="132"/>
        <v>671.2676905951769</v>
      </c>
      <c r="AQ92" s="27">
        <f t="shared" si="133"/>
        <v>0.02292530770733659</v>
      </c>
      <c r="AR92" s="27">
        <f t="shared" si="91"/>
        <v>1.2654769854449797</v>
      </c>
      <c r="AS92" s="27">
        <f t="shared" si="166"/>
        <v>1</v>
      </c>
      <c r="AT92" s="25">
        <f t="shared" si="167"/>
        <v>8.494738135209978</v>
      </c>
      <c r="AU92" s="25">
        <f t="shared" si="92"/>
        <v>3.9925269235486893</v>
      </c>
      <c r="AW92" s="25">
        <f t="shared" si="93"/>
        <v>0.6</v>
      </c>
      <c r="AX92" s="25">
        <f t="shared" si="134"/>
        <v>0.09429604018577337</v>
      </c>
      <c r="AY92" s="25">
        <f t="shared" si="147"/>
        <v>0.30802422126847373</v>
      </c>
      <c r="AZ92" s="25">
        <f t="shared" si="135"/>
        <v>0.6323478778320837</v>
      </c>
      <c r="BA92" s="25">
        <f t="shared" si="136"/>
        <v>0.05962790089944259</v>
      </c>
      <c r="BB92" s="25">
        <f t="shared" si="148"/>
        <v>0.23806599973571763</v>
      </c>
      <c r="BC92" s="25">
        <f t="shared" si="149"/>
        <v>1.2297949965195</v>
      </c>
      <c r="BD92" s="25">
        <f t="shared" si="150"/>
        <v>2.5246659272934715</v>
      </c>
      <c r="BG92" s="76">
        <f t="shared" si="168"/>
        <v>32325</v>
      </c>
      <c r="BH92" s="30">
        <f t="shared" si="151"/>
        <v>31</v>
      </c>
      <c r="BI92" s="27">
        <f>'PSP-1 Metdata'!D93</f>
        <v>19.200000286102295</v>
      </c>
      <c r="BJ92" s="28">
        <f>'PSP-1 Metdata'!E93</f>
        <v>24.100000381469727</v>
      </c>
      <c r="BK92" s="28">
        <f>'PSP-1 Metdata'!F93</f>
        <v>14.300000190734863</v>
      </c>
      <c r="BL92" s="28">
        <f>'PSP-1 Metdata'!G93</f>
        <v>41.43999938964844</v>
      </c>
      <c r="BM92" s="28">
        <f>'PSP-1 Metdata'!I93</f>
        <v>25.87870979309082</v>
      </c>
      <c r="BN92" s="28">
        <f>'PSP-1 Metdata'!J93</f>
        <v>5</v>
      </c>
      <c r="BO92" s="28">
        <f>'PSP-1 Metdata'!K93</f>
        <v>0</v>
      </c>
      <c r="BP92" s="25">
        <f>'PSP-1 Metdata'!L93</f>
        <v>30.014995811927715</v>
      </c>
      <c r="BQ92" s="25">
        <f>'PSP-1 Metdata'!M93</f>
        <v>16.298479514731145</v>
      </c>
      <c r="BR92" s="25">
        <f>'PSP-1 Metdata'!N93</f>
        <v>6.858258148598285</v>
      </c>
      <c r="BT92" s="25">
        <f t="shared" si="169"/>
        <v>51987.026278968784</v>
      </c>
      <c r="BU92" s="25">
        <f t="shared" si="152"/>
        <v>308.2333539021444</v>
      </c>
      <c r="BV92" s="25">
        <f t="shared" si="101"/>
        <v>0.2</v>
      </c>
      <c r="BW92" s="25">
        <f t="shared" si="153"/>
        <v>2518.5499099999706</v>
      </c>
      <c r="BX92" s="25">
        <f t="shared" si="154"/>
        <v>0.00890355671850143</v>
      </c>
      <c r="BY92" s="25">
        <f t="shared" si="137"/>
        <v>25.662933221327563</v>
      </c>
      <c r="BZ92" s="25">
        <f t="shared" si="138"/>
        <v>124.56344179425498</v>
      </c>
      <c r="CA92" s="27">
        <f t="shared" si="155"/>
        <v>2.6323914316897286</v>
      </c>
      <c r="CB92" s="139">
        <f t="shared" si="170"/>
        <v>81.60413438238159</v>
      </c>
      <c r="CD92" s="27">
        <f>IF(CJ91&lt;'DadosReais&amp;Graficos'!MinASW,'DadosReais&amp;Graficos'!MinASW,IF(CJ91&gt;'DadosReais&amp;Graficos'!MaxASW,'DadosReais&amp;Graficos'!MaxASW,CJ91))</f>
        <v>76.3583958100687</v>
      </c>
      <c r="CE92" s="25">
        <f t="shared" si="156"/>
        <v>6.215999908447266</v>
      </c>
      <c r="CG92" s="27">
        <f t="shared" si="157"/>
        <v>117.79839519971713</v>
      </c>
      <c r="CH92" s="27">
        <f t="shared" si="171"/>
        <v>87.82013429082886</v>
      </c>
      <c r="CI92" s="27">
        <f>MAX(CG92-CH92-'DadosReais&amp;Graficos'!MaxASW,0)</f>
        <v>0</v>
      </c>
      <c r="CJ92" s="27">
        <f t="shared" si="172"/>
        <v>29.978260908888274</v>
      </c>
      <c r="CK92" s="27">
        <f>poolFractn*Month!CI92</f>
        <v>0</v>
      </c>
      <c r="CQ92" s="25">
        <f>SIN(PI()*'DadosReais&amp;Graficos'!Lat/180)</f>
        <v>0.6293203910498374</v>
      </c>
      <c r="CR92" s="25">
        <f>COS(PI()*'DadosReais&amp;Graficos'!Lat/180)</f>
        <v>0.7771459614569709</v>
      </c>
      <c r="CS92" s="25">
        <f t="shared" si="139"/>
        <v>1988</v>
      </c>
      <c r="CT92" s="29">
        <f t="shared" si="175"/>
        <v>32143</v>
      </c>
      <c r="CU92" s="30">
        <f t="shared" si="173"/>
        <v>7</v>
      </c>
      <c r="CV92" s="27">
        <f t="shared" si="158"/>
        <v>197</v>
      </c>
      <c r="CW92" s="25">
        <f t="shared" si="176"/>
        <v>0.3616269729601193</v>
      </c>
      <c r="CX92" s="25">
        <f t="shared" si="140"/>
        <v>-0.3140969275246581</v>
      </c>
      <c r="CY92" s="25">
        <f t="shared" si="177"/>
        <v>0.6017016930436202</v>
      </c>
      <c r="CZ92" s="25">
        <f t="shared" si="178"/>
        <v>51987.026278968784</v>
      </c>
    </row>
    <row r="93" spans="1:104" ht="12.75">
      <c r="A93" s="149">
        <f t="shared" si="159"/>
        <v>32352</v>
      </c>
      <c r="B93" s="60">
        <f t="shared" si="141"/>
        <v>13.33</v>
      </c>
      <c r="C93" s="78">
        <f t="shared" si="142"/>
        <v>13.333333333333364</v>
      </c>
      <c r="D93" s="171">
        <f t="shared" si="160"/>
        <v>216079.00335768497</v>
      </c>
      <c r="E93" s="30">
        <f t="shared" si="179"/>
        <v>1111</v>
      </c>
      <c r="F93" s="27">
        <f t="shared" si="161"/>
        <v>9.182367872379643</v>
      </c>
      <c r="G93" s="27">
        <f t="shared" si="162"/>
        <v>36.83525672927783</v>
      </c>
      <c r="H93" s="27">
        <f t="shared" si="163"/>
        <v>163.81422939792205</v>
      </c>
      <c r="I93" s="27">
        <f t="shared" si="164"/>
        <v>172.9965972703017</v>
      </c>
      <c r="J93" s="27">
        <f t="shared" si="117"/>
        <v>209.83185399957952</v>
      </c>
      <c r="K93" s="27">
        <f t="shared" si="118"/>
        <v>4.000000019163156</v>
      </c>
      <c r="L93" s="27">
        <f t="shared" si="119"/>
        <v>3.6729471665481728</v>
      </c>
      <c r="M93" s="27">
        <f t="shared" si="120"/>
        <v>8.6800832849124</v>
      </c>
      <c r="O93" s="25">
        <f t="shared" si="74"/>
        <v>0.013</v>
      </c>
      <c r="P93" s="25">
        <f t="shared" si="121"/>
        <v>0.11937078234093536</v>
      </c>
      <c r="Q93" s="25">
        <f t="shared" si="122"/>
        <v>0.3683525672927783</v>
      </c>
      <c r="S93" s="27">
        <f t="shared" si="174"/>
        <v>147.4475512132512</v>
      </c>
      <c r="T93" s="27">
        <f t="shared" si="77"/>
        <v>18.398941333658335</v>
      </c>
      <c r="U93" s="27">
        <f t="shared" si="123"/>
        <v>0.15590587992138216</v>
      </c>
      <c r="V93" s="27">
        <f t="shared" si="124"/>
        <v>0.45</v>
      </c>
      <c r="W93" s="27">
        <f t="shared" si="143"/>
        <v>307.2769507111019</v>
      </c>
      <c r="X93" s="27">
        <f t="shared" si="144"/>
        <v>23.04577130333259</v>
      </c>
      <c r="Y93" s="27">
        <f t="shared" si="145"/>
        <v>29.53857971492426</v>
      </c>
      <c r="AA93" s="24">
        <f t="shared" si="146"/>
        <v>0.9247749451267473</v>
      </c>
      <c r="AB93" s="23">
        <f t="shared" si="125"/>
        <v>0.6560325726366515</v>
      </c>
      <c r="AC93" s="23">
        <f>IF('DadosReais&amp;Graficos'!soilClass&gt;0,0.8-0.1*'DadosReais&amp;Graficos'!soilClass,IF('DadosReais&amp;Graficos'!soilClass&lt;0,SWconst0,999))</f>
        <v>0.6000000000000001</v>
      </c>
      <c r="AD93" s="23">
        <f>IF('DadosReais&amp;Graficos'!soilClass&gt;0,11-2*'DadosReais&amp;Graficos'!soilClass,SWpower0)</f>
        <v>7</v>
      </c>
      <c r="AE93" s="24">
        <f>1/(1+((1-CD93/'DadosReais&amp;Graficos'!MaxASW)/AC93)^AD93)</f>
        <v>0.08024359281349669</v>
      </c>
      <c r="AF93" s="24">
        <f t="shared" si="126"/>
        <v>0.6</v>
      </c>
      <c r="AG93" s="27">
        <f t="shared" si="85"/>
        <v>1</v>
      </c>
      <c r="AH93" s="27">
        <f t="shared" si="127"/>
        <v>1</v>
      </c>
      <c r="AI93" s="27">
        <f t="shared" si="128"/>
        <v>0.9938298948636152</v>
      </c>
      <c r="AJ93" s="24">
        <f t="shared" si="129"/>
        <v>0.07974848140931616</v>
      </c>
      <c r="AM93" s="27">
        <f t="shared" si="165"/>
        <v>769.3000202178955</v>
      </c>
      <c r="AN93" s="27">
        <f t="shared" si="130"/>
        <v>1</v>
      </c>
      <c r="AO93" s="27">
        <f t="shared" si="131"/>
        <v>0.8406215288073137</v>
      </c>
      <c r="AP93" s="27">
        <f t="shared" si="132"/>
        <v>646.6901591070647</v>
      </c>
      <c r="AQ93" s="27">
        <f t="shared" si="133"/>
        <v>0.004056216863558297</v>
      </c>
      <c r="AR93" s="27">
        <f t="shared" si="91"/>
        <v>0.223903170868418</v>
      </c>
      <c r="AS93" s="27">
        <f t="shared" si="166"/>
        <v>1</v>
      </c>
      <c r="AT93" s="25">
        <f t="shared" si="167"/>
        <v>1.4479597719347352</v>
      </c>
      <c r="AU93" s="25">
        <f t="shared" si="92"/>
        <v>0.6805410928093255</v>
      </c>
      <c r="AW93" s="25">
        <f t="shared" si="93"/>
        <v>0.6</v>
      </c>
      <c r="AX93" s="25">
        <f t="shared" si="134"/>
        <v>0.09401348474550561</v>
      </c>
      <c r="AY93" s="25">
        <f t="shared" si="147"/>
        <v>0.4497827160078975</v>
      </c>
      <c r="AZ93" s="25">
        <f t="shared" si="135"/>
        <v>0.5029346453806248</v>
      </c>
      <c r="BA93" s="25">
        <f t="shared" si="136"/>
        <v>0.047282638611477634</v>
      </c>
      <c r="BB93" s="25">
        <f t="shared" si="148"/>
        <v>0.032177778551563396</v>
      </c>
      <c r="BC93" s="25">
        <f t="shared" si="149"/>
        <v>0.30609562107876104</v>
      </c>
      <c r="BD93" s="25">
        <f t="shared" si="150"/>
        <v>0.342267693179001</v>
      </c>
      <c r="BG93" s="76">
        <f t="shared" si="168"/>
        <v>32356</v>
      </c>
      <c r="BH93" s="30">
        <f t="shared" si="151"/>
        <v>31</v>
      </c>
      <c r="BI93" s="27">
        <f>'PSP-1 Metdata'!D94</f>
        <v>19.5</v>
      </c>
      <c r="BJ93" s="28">
        <f>'PSP-1 Metdata'!E94</f>
        <v>25.399999618530273</v>
      </c>
      <c r="BK93" s="28">
        <f>'PSP-1 Metdata'!F94</f>
        <v>13.600000381469727</v>
      </c>
      <c r="BL93" s="28">
        <f>'PSP-1 Metdata'!G94</f>
        <v>0</v>
      </c>
      <c r="BM93" s="28">
        <f>'PSP-1 Metdata'!I94</f>
        <v>24.816129684448242</v>
      </c>
      <c r="BN93" s="28">
        <f>'PSP-1 Metdata'!J94</f>
        <v>0</v>
      </c>
      <c r="BO93" s="28">
        <f>'PSP-1 Metdata'!K94</f>
        <v>0</v>
      </c>
      <c r="BP93" s="25">
        <f>'PSP-1 Metdata'!L94</f>
        <v>32.436223066589996</v>
      </c>
      <c r="BQ93" s="25">
        <f>'PSP-1 Metdata'!M94</f>
        <v>15.574429552141675</v>
      </c>
      <c r="BR93" s="25">
        <f>'PSP-1 Metdata'!N94</f>
        <v>8.430896757224161</v>
      </c>
      <c r="BT93" s="25">
        <f t="shared" si="169"/>
        <v>48361.75661678577</v>
      </c>
      <c r="BU93" s="25">
        <f t="shared" si="152"/>
        <v>320.50832592519805</v>
      </c>
      <c r="BV93" s="25">
        <f t="shared" si="101"/>
        <v>0.2</v>
      </c>
      <c r="BW93" s="25">
        <f t="shared" si="153"/>
        <v>3096.0680990793207</v>
      </c>
      <c r="BX93" s="25">
        <f t="shared" si="154"/>
        <v>0.0015949696281863232</v>
      </c>
      <c r="BY93" s="25">
        <f t="shared" si="137"/>
        <v>128.5942372729847</v>
      </c>
      <c r="BZ93" s="25">
        <f t="shared" si="138"/>
        <v>29.559539344251128</v>
      </c>
      <c r="CA93" s="27">
        <f t="shared" si="155"/>
        <v>0.5811183932808848</v>
      </c>
      <c r="CB93" s="139">
        <f t="shared" si="170"/>
        <v>18.014670191707427</v>
      </c>
      <c r="CD93" s="27">
        <f>IF(CJ92&lt;'DadosReais&amp;Graficos'!MinASW,'DadosReais&amp;Graficos'!MinASW,IF(CJ92&gt;'DadosReais&amp;Graficos'!MaxASW,'DadosReais&amp;Graficos'!MaxASW,CJ92))</f>
        <v>29.978260908888274</v>
      </c>
      <c r="CE93" s="25">
        <f t="shared" si="156"/>
        <v>0</v>
      </c>
      <c r="CG93" s="27">
        <f t="shared" si="157"/>
        <v>29.978260908888274</v>
      </c>
      <c r="CH93" s="27">
        <f t="shared" si="171"/>
        <v>18.014670191707427</v>
      </c>
      <c r="CI93" s="27">
        <f>MAX(CG93-CH93-'DadosReais&amp;Graficos'!MaxASW,0)</f>
        <v>0</v>
      </c>
      <c r="CJ93" s="27">
        <f t="shared" si="172"/>
        <v>11.963590717180846</v>
      </c>
      <c r="CK93" s="27">
        <f>poolFractn*Month!CI93</f>
        <v>0</v>
      </c>
      <c r="CQ93" s="25">
        <f>SIN(PI()*'DadosReais&amp;Graficos'!Lat/180)</f>
        <v>0.6293203910498374</v>
      </c>
      <c r="CR93" s="25">
        <f>COS(PI()*'DadosReais&amp;Graficos'!Lat/180)</f>
        <v>0.7771459614569709</v>
      </c>
      <c r="CS93" s="25">
        <f t="shared" si="139"/>
        <v>1988</v>
      </c>
      <c r="CT93" s="29">
        <f t="shared" si="175"/>
        <v>32143</v>
      </c>
      <c r="CU93" s="30">
        <f t="shared" si="173"/>
        <v>8</v>
      </c>
      <c r="CV93" s="27">
        <f t="shared" si="158"/>
        <v>228</v>
      </c>
      <c r="CW93" s="25">
        <f t="shared" si="176"/>
        <v>0.2245322171168967</v>
      </c>
      <c r="CX93" s="25">
        <f t="shared" si="140"/>
        <v>-0.18658678708195917</v>
      </c>
      <c r="CY93" s="25">
        <f t="shared" si="177"/>
        <v>0.5597425534350206</v>
      </c>
      <c r="CZ93" s="25">
        <f t="shared" si="178"/>
        <v>48361.75661678577</v>
      </c>
    </row>
    <row r="94" spans="1:104" ht="12.75">
      <c r="A94" s="149">
        <f t="shared" si="159"/>
        <v>32383</v>
      </c>
      <c r="B94" s="60">
        <f t="shared" si="141"/>
        <v>13.42</v>
      </c>
      <c r="C94" s="78">
        <f t="shared" si="142"/>
        <v>13.416666666666698</v>
      </c>
      <c r="D94" s="171">
        <f t="shared" si="160"/>
        <v>215771.59811368812</v>
      </c>
      <c r="E94" s="30">
        <f t="shared" si="179"/>
        <v>1111</v>
      </c>
      <c r="F94" s="27">
        <f t="shared" si="161"/>
        <v>9.095174868590272</v>
      </c>
      <c r="G94" s="27">
        <f t="shared" si="162"/>
        <v>36.77299978306381</v>
      </c>
      <c r="H94" s="27">
        <f t="shared" si="163"/>
        <v>164.15649709110104</v>
      </c>
      <c r="I94" s="27">
        <f t="shared" si="164"/>
        <v>173.25167195969132</v>
      </c>
      <c r="J94" s="27">
        <f t="shared" si="117"/>
        <v>210.02467174275512</v>
      </c>
      <c r="K94" s="27">
        <f t="shared" si="118"/>
        <v>4.000000014965791</v>
      </c>
      <c r="L94" s="27">
        <f t="shared" si="119"/>
        <v>3.6380699610477576</v>
      </c>
      <c r="M94" s="27">
        <f t="shared" si="120"/>
        <v>8.799454067253334</v>
      </c>
      <c r="O94" s="25">
        <f t="shared" si="74"/>
        <v>0.013</v>
      </c>
      <c r="P94" s="25">
        <f t="shared" si="121"/>
        <v>0.11823727329167352</v>
      </c>
      <c r="Q94" s="25">
        <f t="shared" si="122"/>
        <v>0.3677299978306381</v>
      </c>
      <c r="S94" s="27">
        <f t="shared" si="174"/>
        <v>147.75562294428536</v>
      </c>
      <c r="T94" s="27">
        <f t="shared" si="77"/>
        <v>18.41313718399537</v>
      </c>
      <c r="U94" s="27">
        <f t="shared" si="123"/>
        <v>0.1557377509842405</v>
      </c>
      <c r="V94" s="27">
        <f t="shared" si="124"/>
        <v>0.45</v>
      </c>
      <c r="W94" s="27">
        <f t="shared" si="143"/>
        <v>307.9802964992932</v>
      </c>
      <c r="X94" s="27">
        <f t="shared" si="144"/>
        <v>22.95505315522677</v>
      </c>
      <c r="Y94" s="27">
        <f t="shared" si="145"/>
        <v>29.58417875413767</v>
      </c>
      <c r="AA94" s="24">
        <f t="shared" si="146"/>
        <v>0.9399730364308959</v>
      </c>
      <c r="AB94" s="23">
        <f t="shared" si="125"/>
        <v>0.5635092103270885</v>
      </c>
      <c r="AC94" s="23">
        <f>IF('DadosReais&amp;Graficos'!soilClass&gt;0,0.8-0.1*'DadosReais&amp;Graficos'!soilClass,IF('DadosReais&amp;Graficos'!soilClass&lt;0,SWconst0,999))</f>
        <v>0.6000000000000001</v>
      </c>
      <c r="AD94" s="23">
        <f>IF('DadosReais&amp;Graficos'!soilClass&gt;0,11-2*'DadosReais&amp;Graficos'!soilClass,SWpower0)</f>
        <v>7</v>
      </c>
      <c r="AE94" s="24">
        <f>1/(1+((1-CD94/'DadosReais&amp;Graficos'!MaxASW)/AC94)^AD94)</f>
        <v>0.0413280666892803</v>
      </c>
      <c r="AF94" s="24">
        <f t="shared" si="126"/>
        <v>0.6</v>
      </c>
      <c r="AG94" s="27">
        <f t="shared" si="85"/>
        <v>1</v>
      </c>
      <c r="AH94" s="27">
        <f t="shared" si="127"/>
        <v>1</v>
      </c>
      <c r="AI94" s="27">
        <f t="shared" si="128"/>
        <v>0.9936751748874196</v>
      </c>
      <c r="AJ94" s="24">
        <f t="shared" si="129"/>
        <v>0.04106667389522955</v>
      </c>
      <c r="AM94" s="27">
        <f t="shared" si="165"/>
        <v>589.2200088500977</v>
      </c>
      <c r="AN94" s="27">
        <f t="shared" si="130"/>
        <v>1</v>
      </c>
      <c r="AO94" s="27">
        <f t="shared" si="131"/>
        <v>0.8378178155923004</v>
      </c>
      <c r="AP94" s="27">
        <f t="shared" si="132"/>
        <v>493.6590207180647</v>
      </c>
      <c r="AQ94" s="27">
        <f t="shared" si="133"/>
        <v>0.002123086138657898</v>
      </c>
      <c r="AR94" s="27">
        <f t="shared" si="91"/>
        <v>0.11719435485391595</v>
      </c>
      <c r="AS94" s="27">
        <f t="shared" si="166"/>
        <v>1</v>
      </c>
      <c r="AT94" s="25">
        <f t="shared" si="167"/>
        <v>0.5785405045086952</v>
      </c>
      <c r="AU94" s="25">
        <f t="shared" si="92"/>
        <v>0.27191403711908674</v>
      </c>
      <c r="AW94" s="25">
        <f t="shared" si="93"/>
        <v>0.6</v>
      </c>
      <c r="AX94" s="25">
        <f t="shared" si="134"/>
        <v>0.09397557903326112</v>
      </c>
      <c r="AY94" s="25">
        <f t="shared" si="147"/>
        <v>0.47281621496284193</v>
      </c>
      <c r="AZ94" s="25">
        <f t="shared" si="135"/>
        <v>0.4818972152038594</v>
      </c>
      <c r="BA94" s="25">
        <f t="shared" si="136"/>
        <v>0.04528656983329871</v>
      </c>
      <c r="BB94" s="25">
        <f t="shared" si="148"/>
        <v>0.012314054030647698</v>
      </c>
      <c r="BC94" s="25">
        <f t="shared" si="149"/>
        <v>0.1285653658259123</v>
      </c>
      <c r="BD94" s="25">
        <f t="shared" si="150"/>
        <v>0.13103461726252677</v>
      </c>
      <c r="BG94" s="76">
        <f t="shared" si="168"/>
        <v>32387</v>
      </c>
      <c r="BH94" s="30">
        <f t="shared" si="151"/>
        <v>30</v>
      </c>
      <c r="BI94" s="27">
        <f>'PSP-1 Metdata'!D95</f>
        <v>19.100000381469727</v>
      </c>
      <c r="BJ94" s="28">
        <f>'PSP-1 Metdata'!E95</f>
        <v>27.200000762939453</v>
      </c>
      <c r="BK94" s="28">
        <f>'PSP-1 Metdata'!F95</f>
        <v>11</v>
      </c>
      <c r="BL94" s="28">
        <f>'PSP-1 Metdata'!G95</f>
        <v>6.640000152587891</v>
      </c>
      <c r="BM94" s="28">
        <f>'PSP-1 Metdata'!I95</f>
        <v>19.640666961669922</v>
      </c>
      <c r="BN94" s="28">
        <f>'PSP-1 Metdata'!J95</f>
        <v>2</v>
      </c>
      <c r="BO94" s="28">
        <f>'PSP-1 Metdata'!K95</f>
        <v>0</v>
      </c>
      <c r="BP94" s="25">
        <f>'PSP-1 Metdata'!L95</f>
        <v>36.068994071010884</v>
      </c>
      <c r="BQ94" s="25">
        <f>'PSP-1 Metdata'!M95</f>
        <v>13.126130039867608</v>
      </c>
      <c r="BR94" s="25">
        <f>'PSP-1 Metdata'!N95</f>
        <v>11.471432015571638</v>
      </c>
      <c r="BT94" s="25">
        <f t="shared" si="169"/>
        <v>43912.27946472623</v>
      </c>
      <c r="BU94" s="25">
        <f t="shared" si="152"/>
        <v>267.81639579784223</v>
      </c>
      <c r="BV94" s="25">
        <f t="shared" si="101"/>
        <v>0.2</v>
      </c>
      <c r="BW94" s="25">
        <f t="shared" si="153"/>
        <v>4212.640213359954</v>
      </c>
      <c r="BX94" s="25">
        <f t="shared" si="154"/>
        <v>0.000821333477904591</v>
      </c>
      <c r="BY94" s="25">
        <f t="shared" si="137"/>
        <v>246.70645064443937</v>
      </c>
      <c r="BZ94" s="25">
        <f t="shared" si="138"/>
        <v>19.463764614066598</v>
      </c>
      <c r="CA94" s="27">
        <f t="shared" si="155"/>
        <v>0.34743832161322835</v>
      </c>
      <c r="CB94" s="139">
        <f t="shared" si="170"/>
        <v>10.423149648396851</v>
      </c>
      <c r="CD94" s="27">
        <f>IF(CJ93&lt;'DadosReais&amp;Graficos'!MinASW,'DadosReais&amp;Graficos'!MinASW,IF(CJ93&gt;'DadosReais&amp;Graficos'!MaxASW,'DadosReais&amp;Graficos'!MaxASW,CJ93))</f>
        <v>11.963590717180846</v>
      </c>
      <c r="CE94" s="25">
        <f t="shared" si="156"/>
        <v>0.9960000228881837</v>
      </c>
      <c r="CG94" s="27">
        <f t="shared" si="157"/>
        <v>18.603590869768738</v>
      </c>
      <c r="CH94" s="27">
        <f t="shared" si="171"/>
        <v>11.419149671285036</v>
      </c>
      <c r="CI94" s="27">
        <f>MAX(CG94-CH94-'DadosReais&amp;Graficos'!MaxASW,0)</f>
        <v>0</v>
      </c>
      <c r="CJ94" s="27">
        <f t="shared" si="172"/>
        <v>7.184441198483702</v>
      </c>
      <c r="CK94" s="27">
        <f>poolFractn*Month!CI94</f>
        <v>0</v>
      </c>
      <c r="CQ94" s="25">
        <f>SIN(PI()*'DadosReais&amp;Graficos'!Lat/180)</f>
        <v>0.6293203910498374</v>
      </c>
      <c r="CR94" s="25">
        <f>COS(PI()*'DadosReais&amp;Graficos'!Lat/180)</f>
        <v>0.7771459614569709</v>
      </c>
      <c r="CS94" s="25">
        <f t="shared" si="139"/>
        <v>1988</v>
      </c>
      <c r="CT94" s="29">
        <f t="shared" si="175"/>
        <v>32143</v>
      </c>
      <c r="CU94" s="30">
        <f t="shared" si="173"/>
        <v>9</v>
      </c>
      <c r="CV94" s="27">
        <f t="shared" si="158"/>
        <v>258</v>
      </c>
      <c r="CW94" s="25">
        <f t="shared" si="176"/>
        <v>0.031962948421114835</v>
      </c>
      <c r="CX94" s="25">
        <f t="shared" si="140"/>
        <v>-0.025896316893613495</v>
      </c>
      <c r="CY94" s="25">
        <f t="shared" si="177"/>
        <v>0.5082439752861831</v>
      </c>
      <c r="CZ94" s="25">
        <f t="shared" si="178"/>
        <v>43912.27946472623</v>
      </c>
    </row>
    <row r="95" spans="1:104" ht="12.75">
      <c r="A95" s="149">
        <f t="shared" si="159"/>
        <v>32414</v>
      </c>
      <c r="B95" s="60">
        <f t="shared" si="141"/>
        <v>13.5</v>
      </c>
      <c r="C95" s="78">
        <f t="shared" si="142"/>
        <v>13.500000000000032</v>
      </c>
      <c r="D95" s="171">
        <f t="shared" si="160"/>
        <v>216112.9026938171</v>
      </c>
      <c r="E95" s="30">
        <f t="shared" si="179"/>
        <v>1111</v>
      </c>
      <c r="F95" s="27">
        <f t="shared" si="161"/>
        <v>8.989251649329246</v>
      </c>
      <c r="G95" s="27">
        <f t="shared" si="162"/>
        <v>36.53383515105909</v>
      </c>
      <c r="H95" s="27">
        <f t="shared" si="163"/>
        <v>164.28753170836356</v>
      </c>
      <c r="I95" s="27">
        <f t="shared" si="164"/>
        <v>173.2767833576928</v>
      </c>
      <c r="J95" s="27">
        <f t="shared" si="117"/>
        <v>209.8106185087519</v>
      </c>
      <c r="K95" s="27">
        <f t="shared" si="118"/>
        <v>4.0000000116697985</v>
      </c>
      <c r="L95" s="27">
        <f t="shared" si="119"/>
        <v>3.595700670221974</v>
      </c>
      <c r="M95" s="27">
        <f t="shared" si="120"/>
        <v>8.917691340545009</v>
      </c>
      <c r="O95" s="25">
        <f t="shared" si="74"/>
        <v>0.013</v>
      </c>
      <c r="P95" s="25">
        <f t="shared" si="121"/>
        <v>0.1168602714412802</v>
      </c>
      <c r="Q95" s="25">
        <f t="shared" si="122"/>
        <v>0.36533835151059085</v>
      </c>
      <c r="S95" s="27">
        <f t="shared" si="174"/>
        <v>147.87356589411664</v>
      </c>
      <c r="T95" s="27">
        <f t="shared" si="77"/>
        <v>18.418567018814628</v>
      </c>
      <c r="U95" s="27">
        <f t="shared" si="123"/>
        <v>0.15557440835157518</v>
      </c>
      <c r="V95" s="27">
        <f t="shared" si="124"/>
        <v>0.45</v>
      </c>
      <c r="W95" s="27">
        <f t="shared" si="143"/>
        <v>308.285769251765</v>
      </c>
      <c r="X95" s="27">
        <f t="shared" si="144"/>
        <v>22.835982907538092</v>
      </c>
      <c r="Y95" s="27">
        <f t="shared" si="145"/>
        <v>29.601629434853194</v>
      </c>
      <c r="AA95" s="24">
        <f t="shared" si="146"/>
        <v>0.9970826311697752</v>
      </c>
      <c r="AB95" s="23">
        <f t="shared" si="125"/>
        <v>0.6994232189586909</v>
      </c>
      <c r="AC95" s="23">
        <f>IF('DadosReais&amp;Graficos'!soilClass&gt;0,0.8-0.1*'DadosReais&amp;Graficos'!soilClass,IF('DadosReais&amp;Graficos'!soilClass&lt;0,SWconst0,999))</f>
        <v>0.6000000000000001</v>
      </c>
      <c r="AD95" s="23">
        <f>IF('DadosReais&amp;Graficos'!soilClass&gt;0,11-2*'DadosReais&amp;Graficos'!soilClass,SWpower0)</f>
        <v>7</v>
      </c>
      <c r="AE95" s="24">
        <f>1/(1+((1-CD95/'DadosReais&amp;Graficos'!MaxASW)/AC95)^AD95)</f>
        <v>0.034901635179311594</v>
      </c>
      <c r="AF95" s="24">
        <f t="shared" si="126"/>
        <v>0.6</v>
      </c>
      <c r="AG95" s="27">
        <f t="shared" si="85"/>
        <v>1</v>
      </c>
      <c r="AH95" s="27">
        <f t="shared" si="127"/>
        <v>1</v>
      </c>
      <c r="AI95" s="27">
        <f t="shared" si="128"/>
        <v>0.9935175944455948</v>
      </c>
      <c r="AJ95" s="24">
        <f t="shared" si="129"/>
        <v>0.034675388625567405</v>
      </c>
      <c r="AM95" s="27">
        <f t="shared" si="165"/>
        <v>385.8600015640259</v>
      </c>
      <c r="AN95" s="27">
        <f t="shared" si="130"/>
        <v>1</v>
      </c>
      <c r="AO95" s="27">
        <f t="shared" si="131"/>
        <v>0.8343453923604224</v>
      </c>
      <c r="AP95" s="27">
        <f t="shared" si="132"/>
        <v>321.9405144011304</v>
      </c>
      <c r="AQ95" s="27">
        <f t="shared" si="133"/>
        <v>0.0019015825250188385</v>
      </c>
      <c r="AR95" s="27">
        <f t="shared" si="91"/>
        <v>0.10496735538103988</v>
      </c>
      <c r="AS95" s="27">
        <f t="shared" si="166"/>
        <v>1</v>
      </c>
      <c r="AT95" s="25">
        <f t="shared" si="167"/>
        <v>0.3379324438669824</v>
      </c>
      <c r="AU95" s="25">
        <f t="shared" si="92"/>
        <v>0.1588282486174817</v>
      </c>
      <c r="AW95" s="25">
        <f t="shared" si="93"/>
        <v>0.6</v>
      </c>
      <c r="AX95" s="25">
        <f t="shared" si="134"/>
        <v>0.09396109207113726</v>
      </c>
      <c r="AY95" s="25">
        <f t="shared" si="147"/>
        <v>0.47685100835625444</v>
      </c>
      <c r="AZ95" s="25">
        <f t="shared" si="135"/>
        <v>0.47821535467344256</v>
      </c>
      <c r="BA95" s="25">
        <f t="shared" si="136"/>
        <v>0.04493363697030295</v>
      </c>
      <c r="BB95" s="25">
        <f t="shared" si="148"/>
        <v>0.007136730864006944</v>
      </c>
      <c r="BC95" s="25">
        <f t="shared" si="149"/>
        <v>0.07573741050870403</v>
      </c>
      <c r="BD95" s="25">
        <f t="shared" si="150"/>
        <v>0.07595410724477072</v>
      </c>
      <c r="BG95" s="76">
        <f t="shared" si="168"/>
        <v>32417</v>
      </c>
      <c r="BH95" s="30">
        <f t="shared" si="151"/>
        <v>31</v>
      </c>
      <c r="BI95" s="27">
        <f>'PSP-1 Metdata'!D96</f>
        <v>16.65000009536743</v>
      </c>
      <c r="BJ95" s="28">
        <f>'PSP-1 Metdata'!E96</f>
        <v>22.5</v>
      </c>
      <c r="BK95" s="28">
        <f>'PSP-1 Metdata'!F96</f>
        <v>10.800000190734863</v>
      </c>
      <c r="BL95" s="28">
        <f>'PSP-1 Metdata'!G96</f>
        <v>83.6</v>
      </c>
      <c r="BM95" s="28">
        <f>'PSP-1 Metdata'!I96</f>
        <v>12.447096824645996</v>
      </c>
      <c r="BN95" s="28">
        <f>'PSP-1 Metdata'!J96</f>
        <v>8</v>
      </c>
      <c r="BO95" s="28">
        <f>'PSP-1 Metdata'!K96</f>
        <v>0</v>
      </c>
      <c r="BP95" s="25">
        <f>'PSP-1 Metdata'!L96</f>
        <v>27.25262328337081</v>
      </c>
      <c r="BQ95" s="25">
        <f>'PSP-1 Metdata'!M96</f>
        <v>12.952653023084384</v>
      </c>
      <c r="BR95" s="25">
        <f>'PSP-1 Metdata'!N96</f>
        <v>7.149985130143213</v>
      </c>
      <c r="BT95" s="25">
        <f t="shared" si="169"/>
        <v>39224.4387806368</v>
      </c>
      <c r="BU95" s="25">
        <f t="shared" si="152"/>
        <v>163.8641155684914</v>
      </c>
      <c r="BV95" s="25">
        <f t="shared" si="101"/>
        <v>0.2</v>
      </c>
      <c r="BW95" s="25">
        <f t="shared" si="153"/>
        <v>2625.680459360336</v>
      </c>
      <c r="BX95" s="25">
        <f t="shared" si="154"/>
        <v>0.0006935077725113481</v>
      </c>
      <c r="BY95" s="25">
        <f t="shared" si="137"/>
        <v>291.5889812449468</v>
      </c>
      <c r="BZ95" s="25">
        <f t="shared" si="138"/>
        <v>10.24106432575551</v>
      </c>
      <c r="CA95" s="27">
        <f t="shared" si="155"/>
        <v>0.16329268320900833</v>
      </c>
      <c r="CB95" s="139">
        <f t="shared" si="170"/>
        <v>5.062073179479258</v>
      </c>
      <c r="CD95" s="27">
        <f>IF(CJ94&lt;'DadosReais&amp;Graficos'!MinASW,'DadosReais&amp;Graficos'!MinASW,IF(CJ94&gt;'DadosReais&amp;Graficos'!MaxASW,'DadosReais&amp;Graficos'!MaxASW,CJ94))</f>
        <v>7.184441198483702</v>
      </c>
      <c r="CE95" s="25">
        <f t="shared" si="156"/>
        <v>12.54</v>
      </c>
      <c r="CG95" s="27">
        <f t="shared" si="157"/>
        <v>90.78444119848369</v>
      </c>
      <c r="CH95" s="27">
        <f t="shared" si="171"/>
        <v>17.602073179479255</v>
      </c>
      <c r="CI95" s="27">
        <f>MAX(CG95-CH95-'DadosReais&amp;Graficos'!MaxASW,0)</f>
        <v>0</v>
      </c>
      <c r="CJ95" s="27">
        <f t="shared" si="172"/>
        <v>73.18236801900443</v>
      </c>
      <c r="CK95" s="27">
        <f>poolFractn*Month!CI95</f>
        <v>0</v>
      </c>
      <c r="CQ95" s="25">
        <f>SIN(PI()*'DadosReais&amp;Graficos'!Lat/180)</f>
        <v>0.6293203910498374</v>
      </c>
      <c r="CR95" s="25">
        <f>COS(PI()*'DadosReais&amp;Graficos'!Lat/180)</f>
        <v>0.7771459614569709</v>
      </c>
      <c r="CS95" s="25">
        <f t="shared" si="139"/>
        <v>1988</v>
      </c>
      <c r="CT95" s="29">
        <f t="shared" si="175"/>
        <v>32143</v>
      </c>
      <c r="CU95" s="30">
        <f t="shared" si="173"/>
        <v>10</v>
      </c>
      <c r="CV95" s="27">
        <f t="shared" si="158"/>
        <v>289</v>
      </c>
      <c r="CW95" s="25">
        <f t="shared" si="176"/>
        <v>-0.1751405350728837</v>
      </c>
      <c r="CX95" s="25">
        <f t="shared" si="140"/>
        <v>0.14405256542254885</v>
      </c>
      <c r="CY95" s="25">
        <f t="shared" si="177"/>
        <v>0.4539865599610741</v>
      </c>
      <c r="CZ95" s="25">
        <f t="shared" si="178"/>
        <v>39224.4387806368</v>
      </c>
    </row>
    <row r="96" spans="1:104" ht="12.75">
      <c r="A96" s="149">
        <f t="shared" si="159"/>
        <v>32444</v>
      </c>
      <c r="B96" s="60">
        <f t="shared" si="141"/>
        <v>13.58</v>
      </c>
      <c r="C96" s="78">
        <f t="shared" si="142"/>
        <v>13.583333333333366</v>
      </c>
      <c r="D96" s="171">
        <f t="shared" si="160"/>
        <v>216630.1989169075</v>
      </c>
      <c r="E96" s="30">
        <f t="shared" si="179"/>
        <v>1111</v>
      </c>
      <c r="F96" s="27">
        <f t="shared" si="161"/>
        <v>8.879528108751972</v>
      </c>
      <c r="G96" s="27">
        <f t="shared" si="162"/>
        <v>36.24423421005719</v>
      </c>
      <c r="H96" s="27">
        <f t="shared" si="163"/>
        <v>164.36348581560833</v>
      </c>
      <c r="I96" s="27">
        <f t="shared" si="164"/>
        <v>173.2430139243603</v>
      </c>
      <c r="J96" s="27">
        <f t="shared" si="117"/>
        <v>209.48724813441748</v>
      </c>
      <c r="K96" s="27">
        <f t="shared" si="118"/>
        <v>4.000000009085694</v>
      </c>
      <c r="L96" s="27">
        <f t="shared" si="119"/>
        <v>3.551811251568456</v>
      </c>
      <c r="M96" s="27">
        <f t="shared" si="120"/>
        <v>9.03455161198629</v>
      </c>
      <c r="O96" s="25">
        <f t="shared" si="74"/>
        <v>0.013</v>
      </c>
      <c r="P96" s="25">
        <f t="shared" si="121"/>
        <v>0.11543386541377562</v>
      </c>
      <c r="Q96" s="25">
        <f t="shared" si="122"/>
        <v>0.36244234210057197</v>
      </c>
      <c r="S96" s="27">
        <f t="shared" si="174"/>
        <v>147.9419314271902</v>
      </c>
      <c r="T96" s="27">
        <f t="shared" si="77"/>
        <v>18.421713168082746</v>
      </c>
      <c r="U96" s="27">
        <f t="shared" si="123"/>
        <v>0.15541571576658872</v>
      </c>
      <c r="V96" s="27">
        <f t="shared" si="124"/>
        <v>0.45</v>
      </c>
      <c r="W96" s="27">
        <f t="shared" si="143"/>
        <v>308.48626004818664</v>
      </c>
      <c r="X96" s="27">
        <f t="shared" si="144"/>
        <v>22.710644911522888</v>
      </c>
      <c r="Y96" s="27">
        <f t="shared" si="145"/>
        <v>29.61174304453179</v>
      </c>
      <c r="AA96" s="24">
        <f t="shared" si="146"/>
        <v>0.9853542511807749</v>
      </c>
      <c r="AB96" s="23">
        <f t="shared" si="125"/>
        <v>0.7581262407491914</v>
      </c>
      <c r="AC96" s="23">
        <f>IF('DadosReais&amp;Graficos'!soilClass&gt;0,0.8-0.1*'DadosReais&amp;Graficos'!soilClass,IF('DadosReais&amp;Graficos'!soilClass&lt;0,SWconst0,999))</f>
        <v>0.6000000000000001</v>
      </c>
      <c r="AD96" s="23">
        <f>IF('DadosReais&amp;Graficos'!soilClass&gt;0,11-2*'DadosReais&amp;Graficos'!soilClass,SWpower0)</f>
        <v>7</v>
      </c>
      <c r="AE96" s="24">
        <f>1/(1+((1-CD96/'DadosReais&amp;Graficos'!MaxASW)/AC96)^AD96)</f>
        <v>0.4044858486526342</v>
      </c>
      <c r="AF96" s="24">
        <f t="shared" si="126"/>
        <v>0.6</v>
      </c>
      <c r="AG96" s="27">
        <f t="shared" si="85"/>
        <v>1</v>
      </c>
      <c r="AH96" s="27">
        <f t="shared" si="127"/>
        <v>1</v>
      </c>
      <c r="AI96" s="27">
        <f t="shared" si="128"/>
        <v>0.9933571200503237</v>
      </c>
      <c r="AJ96" s="24">
        <f t="shared" si="129"/>
        <v>0.4017988977186918</v>
      </c>
      <c r="AM96" s="27">
        <f t="shared" si="165"/>
        <v>216.9000005722046</v>
      </c>
      <c r="AN96" s="27">
        <f t="shared" si="130"/>
        <v>1</v>
      </c>
      <c r="AO96" s="27">
        <f t="shared" si="131"/>
        <v>0.830669969601764</v>
      </c>
      <c r="AP96" s="27">
        <f t="shared" si="132"/>
        <v>180.17231688193579</v>
      </c>
      <c r="AQ96" s="27">
        <f t="shared" si="133"/>
        <v>0.02177528385927743</v>
      </c>
      <c r="AR96" s="27">
        <f t="shared" si="91"/>
        <v>1.201995669032114</v>
      </c>
      <c r="AS96" s="27">
        <f t="shared" si="166"/>
        <v>1</v>
      </c>
      <c r="AT96" s="25">
        <f t="shared" si="167"/>
        <v>2.1656634457156847</v>
      </c>
      <c r="AU96" s="25">
        <f t="shared" si="92"/>
        <v>1.0178618194863718</v>
      </c>
      <c r="AW96" s="25">
        <f t="shared" si="93"/>
        <v>0.6</v>
      </c>
      <c r="AX96" s="25">
        <f t="shared" si="134"/>
        <v>0.09395270102619156</v>
      </c>
      <c r="AY96" s="25">
        <f t="shared" si="147"/>
        <v>0.3199962200907463</v>
      </c>
      <c r="AZ96" s="25">
        <f t="shared" si="135"/>
        <v>0.6216025421129913</v>
      </c>
      <c r="BA96" s="25">
        <f t="shared" si="136"/>
        <v>0.058401237796262495</v>
      </c>
      <c r="BB96" s="25">
        <f t="shared" si="148"/>
        <v>0.059444390163560006</v>
      </c>
      <c r="BC96" s="25">
        <f t="shared" si="149"/>
        <v>0.3257119348103285</v>
      </c>
      <c r="BD96" s="25">
        <f t="shared" si="150"/>
        <v>0.6327054945124834</v>
      </c>
      <c r="BG96" s="76">
        <f t="shared" si="168"/>
        <v>32448</v>
      </c>
      <c r="BH96" s="30">
        <f t="shared" si="151"/>
        <v>30</v>
      </c>
      <c r="BI96" s="27">
        <f>'PSP-1 Metdata'!D97</f>
        <v>14.600000381469727</v>
      </c>
      <c r="BJ96" s="28">
        <f>'PSP-1 Metdata'!E97</f>
        <v>19.700000762939453</v>
      </c>
      <c r="BK96" s="28">
        <f>'PSP-1 Metdata'!F97</f>
        <v>9.5</v>
      </c>
      <c r="BL96" s="28">
        <f>'PSP-1 Metdata'!G97</f>
        <v>50.07999877929688</v>
      </c>
      <c r="BM96" s="28">
        <f>'PSP-1 Metdata'!I97</f>
        <v>7.230000019073486</v>
      </c>
      <c r="BN96" s="28">
        <f>'PSP-1 Metdata'!J97</f>
        <v>10</v>
      </c>
      <c r="BO96" s="28">
        <f>'PSP-1 Metdata'!K97</f>
        <v>0</v>
      </c>
      <c r="BP96" s="25">
        <f>'PSP-1 Metdata'!L97</f>
        <v>22.949574018262</v>
      </c>
      <c r="BQ96" s="25">
        <f>'PSP-1 Metdata'!M97</f>
        <v>11.87335951095137</v>
      </c>
      <c r="BR96" s="25">
        <f>'PSP-1 Metdata'!N97</f>
        <v>5.538107253655314</v>
      </c>
      <c r="BT96" s="25">
        <f t="shared" si="169"/>
        <v>35312.835538885876</v>
      </c>
      <c r="BU96" s="25">
        <f t="shared" si="152"/>
        <v>73.7931343375003</v>
      </c>
      <c r="BV96" s="25">
        <f t="shared" si="101"/>
        <v>0.2</v>
      </c>
      <c r="BW96" s="25">
        <f t="shared" si="153"/>
        <v>2033.7524810311368</v>
      </c>
      <c r="BX96" s="25">
        <f t="shared" si="154"/>
        <v>0.008035977954373837</v>
      </c>
      <c r="BY96" s="25">
        <f t="shared" si="137"/>
        <v>28.088072258976723</v>
      </c>
      <c r="BZ96" s="25">
        <f t="shared" si="138"/>
        <v>78.18611958575343</v>
      </c>
      <c r="CA96" s="27">
        <f t="shared" si="155"/>
        <v>1.1223469846973069</v>
      </c>
      <c r="CB96" s="139">
        <f t="shared" si="170"/>
        <v>33.67040954091921</v>
      </c>
      <c r="CD96" s="27">
        <f>IF(CJ95&lt;'DadosReais&amp;Graficos'!MinASW,'DadosReais&amp;Graficos'!MinASW,IF(CJ95&gt;'DadosReais&amp;Graficos'!MaxASW,'DadosReais&amp;Graficos'!MaxASW,CJ95))</f>
        <v>73.18236801900443</v>
      </c>
      <c r="CE96" s="25">
        <f t="shared" si="156"/>
        <v>7.511999816894532</v>
      </c>
      <c r="CG96" s="27">
        <f t="shared" si="157"/>
        <v>123.26236679830131</v>
      </c>
      <c r="CH96" s="27">
        <f t="shared" si="171"/>
        <v>41.18240935781374</v>
      </c>
      <c r="CI96" s="27">
        <f>MAX(CG96-CH96-'DadosReais&amp;Graficos'!MaxASW,0)</f>
        <v>0</v>
      </c>
      <c r="CJ96" s="27">
        <f t="shared" si="172"/>
        <v>82.07995744048758</v>
      </c>
      <c r="CK96" s="27">
        <f>poolFractn*Month!CI96</f>
        <v>0</v>
      </c>
      <c r="CQ96" s="25">
        <f>SIN(PI()*'DadosReais&amp;Graficos'!Lat/180)</f>
        <v>0.6293203910498374</v>
      </c>
      <c r="CR96" s="25">
        <f>COS(PI()*'DadosReais&amp;Graficos'!Lat/180)</f>
        <v>0.7771459614569709</v>
      </c>
      <c r="CS96" s="25">
        <f t="shared" si="139"/>
        <v>1988</v>
      </c>
      <c r="CT96" s="29">
        <f t="shared" si="175"/>
        <v>32143</v>
      </c>
      <c r="CU96" s="30">
        <f t="shared" si="173"/>
        <v>11</v>
      </c>
      <c r="CV96" s="27">
        <f t="shared" si="158"/>
        <v>319</v>
      </c>
      <c r="CW96" s="25">
        <f t="shared" si="176"/>
        <v>-0.3297749470179898</v>
      </c>
      <c r="CX96" s="25">
        <f t="shared" si="140"/>
        <v>0.2828703751751745</v>
      </c>
      <c r="CY96" s="25">
        <f t="shared" si="177"/>
        <v>0.40871337429266064</v>
      </c>
      <c r="CZ96" s="25">
        <f t="shared" si="178"/>
        <v>35312.835538885876</v>
      </c>
    </row>
    <row r="97" spans="1:104" ht="12.75">
      <c r="A97" s="149">
        <f t="shared" si="159"/>
        <v>32475</v>
      </c>
      <c r="B97" s="60">
        <f t="shared" si="141"/>
        <v>13.67</v>
      </c>
      <c r="C97" s="78">
        <f t="shared" si="142"/>
        <v>13.6666666666667</v>
      </c>
      <c r="D97" s="171">
        <f t="shared" si="160"/>
        <v>215767.51840974143</v>
      </c>
      <c r="E97" s="30">
        <f t="shared" si="179"/>
        <v>1111</v>
      </c>
      <c r="F97" s="27">
        <f t="shared" si="161"/>
        <v>8.823538633501755</v>
      </c>
      <c r="G97" s="27">
        <f t="shared" si="162"/>
        <v>36.20750380276695</v>
      </c>
      <c r="H97" s="27">
        <f t="shared" si="163"/>
        <v>164.99619131012082</v>
      </c>
      <c r="I97" s="27">
        <f t="shared" si="164"/>
        <v>173.81972994362258</v>
      </c>
      <c r="J97" s="27">
        <f t="shared" si="117"/>
        <v>210.02723374638953</v>
      </c>
      <c r="K97" s="27">
        <f t="shared" si="118"/>
        <v>4.000000007062913</v>
      </c>
      <c r="L97" s="27">
        <f t="shared" si="119"/>
        <v>3.5294154596326908</v>
      </c>
      <c r="M97" s="27">
        <f t="shared" si="120"/>
        <v>9.149985477400065</v>
      </c>
      <c r="O97" s="25">
        <f t="shared" si="74"/>
        <v>0.013</v>
      </c>
      <c r="P97" s="25">
        <f t="shared" si="121"/>
        <v>0.11470600223552281</v>
      </c>
      <c r="Q97" s="25">
        <f t="shared" si="122"/>
        <v>0.3620750380276695</v>
      </c>
      <c r="S97" s="27">
        <f t="shared" si="174"/>
        <v>148.51142332144087</v>
      </c>
      <c r="T97" s="27">
        <f t="shared" si="77"/>
        <v>18.447885363716875</v>
      </c>
      <c r="U97" s="27">
        <f t="shared" si="123"/>
        <v>0.1552615408514501</v>
      </c>
      <c r="V97" s="27">
        <f t="shared" si="124"/>
        <v>0.45</v>
      </c>
      <c r="W97" s="27">
        <f t="shared" si="143"/>
        <v>309.7302853615351</v>
      </c>
      <c r="X97" s="27">
        <f t="shared" si="144"/>
        <v>22.663191611819585</v>
      </c>
      <c r="Y97" s="27">
        <f t="shared" si="145"/>
        <v>29.695943125069245</v>
      </c>
      <c r="AA97" s="24">
        <f t="shared" si="146"/>
        <v>0.5615370661142818</v>
      </c>
      <c r="AB97" s="23">
        <f t="shared" si="125"/>
        <v>0.7424267424174043</v>
      </c>
      <c r="AC97" s="23">
        <f>IF('DadosReais&amp;Graficos'!soilClass&gt;0,0.8-0.1*'DadosReais&amp;Graficos'!soilClass,IF('DadosReais&amp;Graficos'!soilClass&lt;0,SWconst0,999))</f>
        <v>0.6000000000000001</v>
      </c>
      <c r="AD97" s="23">
        <f>IF('DadosReais&amp;Graficos'!soilClass&gt;0,11-2*'DadosReais&amp;Graficos'!soilClass,SWpower0)</f>
        <v>7</v>
      </c>
      <c r="AE97" s="24">
        <f>1/(1+((1-CD97/'DadosReais&amp;Graficos'!MaxASW)/AC97)^AD97)</f>
        <v>0.5305605271248415</v>
      </c>
      <c r="AF97" s="24">
        <f t="shared" si="126"/>
        <v>0.6</v>
      </c>
      <c r="AG97" s="27">
        <f t="shared" si="85"/>
        <v>1</v>
      </c>
      <c r="AH97" s="27">
        <f t="shared" si="127"/>
        <v>0.4666666666666667</v>
      </c>
      <c r="AI97" s="27">
        <f t="shared" si="128"/>
        <v>0.9931937180856</v>
      </c>
      <c r="AJ97" s="24">
        <f t="shared" si="129"/>
        <v>0.5269493826045771</v>
      </c>
      <c r="AM97" s="27">
        <f t="shared" si="165"/>
        <v>264.2199993133545</v>
      </c>
      <c r="AN97" s="27">
        <f t="shared" si="130"/>
        <v>1</v>
      </c>
      <c r="AO97" s="27">
        <f t="shared" si="131"/>
        <v>0.8287631734092746</v>
      </c>
      <c r="AP97" s="27">
        <f t="shared" si="132"/>
        <v>218.97580510913204</v>
      </c>
      <c r="AQ97" s="27">
        <f t="shared" si="133"/>
        <v>0.0075948079976616645</v>
      </c>
      <c r="AR97" s="27">
        <f t="shared" si="91"/>
        <v>0.41923340147092386</v>
      </c>
      <c r="AS97" s="27">
        <f t="shared" si="166"/>
        <v>1</v>
      </c>
      <c r="AT97" s="25">
        <f t="shared" si="167"/>
        <v>0.9180197161573553</v>
      </c>
      <c r="AU97" s="25">
        <f t="shared" si="92"/>
        <v>0.43146926659395696</v>
      </c>
      <c r="AW97" s="25">
        <f t="shared" si="93"/>
        <v>0.6</v>
      </c>
      <c r="AX97" s="25">
        <f t="shared" si="134"/>
        <v>0.0938829820679372</v>
      </c>
      <c r="AY97" s="25">
        <f t="shared" si="147"/>
        <v>0.2877318390670867</v>
      </c>
      <c r="AZ97" s="25">
        <f t="shared" si="135"/>
        <v>0.6511374366446419</v>
      </c>
      <c r="BA97" s="25">
        <f t="shared" si="136"/>
        <v>0.06113072428827149</v>
      </c>
      <c r="BB97" s="25">
        <f t="shared" si="148"/>
        <v>0.02637602877501789</v>
      </c>
      <c r="BC97" s="25">
        <f t="shared" si="149"/>
        <v>0.12414744557800636</v>
      </c>
      <c r="BD97" s="25">
        <f t="shared" si="150"/>
        <v>0.28094579224093275</v>
      </c>
      <c r="BG97" s="76">
        <f t="shared" si="168"/>
        <v>32478</v>
      </c>
      <c r="BH97" s="30">
        <f t="shared" si="151"/>
        <v>31</v>
      </c>
      <c r="BI97" s="27">
        <f>'PSP-1 Metdata'!D98</f>
        <v>9.050000011920929</v>
      </c>
      <c r="BJ97" s="28">
        <f>'PSP-1 Metdata'!E98</f>
        <v>16.5</v>
      </c>
      <c r="BK97" s="28">
        <f>'PSP-1 Metdata'!F98</f>
        <v>1.600000023841858</v>
      </c>
      <c r="BL97" s="28">
        <f>'PSP-1 Metdata'!G98</f>
        <v>14.160000610351563</v>
      </c>
      <c r="BM97" s="28">
        <f>'PSP-1 Metdata'!I98</f>
        <v>8.523225784301758</v>
      </c>
      <c r="BN97" s="28">
        <f>'PSP-1 Metdata'!J98</f>
        <v>3</v>
      </c>
      <c r="BO97" s="28">
        <f>'PSP-1 Metdata'!K98</f>
        <v>16</v>
      </c>
      <c r="BP97" s="25">
        <f>'PSP-1 Metdata'!L98</f>
        <v>18.76992337303938</v>
      </c>
      <c r="BQ97" s="25">
        <f>'PSP-1 Metdata'!M98</f>
        <v>6.85668030968977</v>
      </c>
      <c r="BR97" s="25">
        <f>'PSP-1 Metdata'!N98</f>
        <v>5.956621531674805</v>
      </c>
      <c r="BT97" s="25">
        <f t="shared" si="169"/>
        <v>33294.53956575766</v>
      </c>
      <c r="BU97" s="25">
        <f t="shared" si="152"/>
        <v>114.79576279991849</v>
      </c>
      <c r="BV97" s="25">
        <f t="shared" si="101"/>
        <v>0.2</v>
      </c>
      <c r="BW97" s="25">
        <f t="shared" si="153"/>
        <v>2187.4429771311006</v>
      </c>
      <c r="BX97" s="25">
        <f t="shared" si="154"/>
        <v>0.010538987652091544</v>
      </c>
      <c r="BY97" s="25">
        <f t="shared" si="137"/>
        <v>22.177154789654626</v>
      </c>
      <c r="BZ97" s="25">
        <f t="shared" si="138"/>
        <v>110.02284460895537</v>
      </c>
      <c r="CA97" s="27">
        <f t="shared" si="155"/>
        <v>1.4890894117764517</v>
      </c>
      <c r="CB97" s="139">
        <f t="shared" si="170"/>
        <v>46.16177176507</v>
      </c>
      <c r="CD97" s="27">
        <f>IF(CJ96&lt;'DadosReais&amp;Graficos'!MinASW,'DadosReais&amp;Graficos'!MinASW,IF(CJ96&gt;'DadosReais&amp;Graficos'!MaxASW,'DadosReais&amp;Graficos'!MaxASW,CJ96))</f>
        <v>82.07995744048758</v>
      </c>
      <c r="CE97" s="25">
        <f t="shared" si="156"/>
        <v>2.1240000915527344</v>
      </c>
      <c r="CG97" s="27">
        <f t="shared" si="157"/>
        <v>96.23995805083914</v>
      </c>
      <c r="CH97" s="27">
        <f t="shared" si="171"/>
        <v>48.28577185662274</v>
      </c>
      <c r="CI97" s="27">
        <f>MAX(CG97-CH97-'DadosReais&amp;Graficos'!MaxASW,0)</f>
        <v>0</v>
      </c>
      <c r="CJ97" s="27">
        <f t="shared" si="172"/>
        <v>47.9541861942164</v>
      </c>
      <c r="CK97" s="27">
        <f>poolFractn*Month!CI97</f>
        <v>0</v>
      </c>
      <c r="CQ97" s="25">
        <f>SIN(PI()*'DadosReais&amp;Graficos'!Lat/180)</f>
        <v>0.6293203910498374</v>
      </c>
      <c r="CR97" s="25">
        <f>COS(PI()*'DadosReais&amp;Graficos'!Lat/180)</f>
        <v>0.7771459614569709</v>
      </c>
      <c r="CS97" s="25">
        <f t="shared" si="139"/>
        <v>1988</v>
      </c>
      <c r="CT97" s="29">
        <f t="shared" si="175"/>
        <v>32143</v>
      </c>
      <c r="CU97" s="30">
        <f t="shared" si="173"/>
        <v>12</v>
      </c>
      <c r="CV97" s="27">
        <f t="shared" si="158"/>
        <v>350</v>
      </c>
      <c r="CW97" s="25">
        <f t="shared" si="176"/>
        <v>-0.39906495399591085</v>
      </c>
      <c r="CX97" s="25">
        <f t="shared" si="140"/>
        <v>0.352435862283474</v>
      </c>
      <c r="CY97" s="25">
        <f t="shared" si="177"/>
        <v>0.3853534671962692</v>
      </c>
      <c r="CZ97" s="25">
        <f t="shared" si="178"/>
        <v>33294.53956575766</v>
      </c>
    </row>
    <row r="98" spans="1:104" ht="12.75">
      <c r="A98" s="149">
        <f t="shared" si="159"/>
        <v>32505</v>
      </c>
      <c r="B98" s="60">
        <f t="shared" si="141"/>
        <v>13.75</v>
      </c>
      <c r="C98" s="78">
        <f t="shared" si="142"/>
        <v>13.750000000000034</v>
      </c>
      <c r="D98" s="171">
        <f t="shared" si="160"/>
        <v>215839.6910662573</v>
      </c>
      <c r="E98" s="30">
        <f t="shared" si="179"/>
        <v>1111</v>
      </c>
      <c r="F98" s="27">
        <f t="shared" si="161"/>
        <v>8.735208660041252</v>
      </c>
      <c r="G98" s="27">
        <f t="shared" si="162"/>
        <v>35.969576210317285</v>
      </c>
      <c r="H98" s="27">
        <f t="shared" si="163"/>
        <v>165.27713710236176</v>
      </c>
      <c r="I98" s="27">
        <f t="shared" si="164"/>
        <v>174.01234576240302</v>
      </c>
      <c r="J98" s="27">
        <f t="shared" si="117"/>
        <v>209.9819219727203</v>
      </c>
      <c r="K98" s="27">
        <f t="shared" si="118"/>
        <v>4.000000005482021</v>
      </c>
      <c r="L98" s="27">
        <f t="shared" si="119"/>
        <v>3.4940834688051607</v>
      </c>
      <c r="M98" s="27">
        <f t="shared" si="120"/>
        <v>9.264691479635587</v>
      </c>
      <c r="O98" s="25">
        <f t="shared" si="74"/>
        <v>0.013</v>
      </c>
      <c r="P98" s="25">
        <f t="shared" si="121"/>
        <v>0.11355771258053628</v>
      </c>
      <c r="Q98" s="25">
        <f t="shared" si="122"/>
        <v>0.35969576210317283</v>
      </c>
      <c r="S98" s="27">
        <f t="shared" si="174"/>
        <v>148.76429982210777</v>
      </c>
      <c r="T98" s="27">
        <f t="shared" si="77"/>
        <v>18.459486548673528</v>
      </c>
      <c r="U98" s="27">
        <f t="shared" si="123"/>
        <v>0.15511175499686833</v>
      </c>
      <c r="V98" s="27">
        <f t="shared" si="124"/>
        <v>0.45</v>
      </c>
      <c r="W98" s="27">
        <f t="shared" si="143"/>
        <v>310.31268956790313</v>
      </c>
      <c r="X98" s="27">
        <f t="shared" si="144"/>
        <v>22.568195604938353</v>
      </c>
      <c r="Y98" s="27">
        <f t="shared" si="145"/>
        <v>29.73330420423888</v>
      </c>
      <c r="AA98" s="24">
        <f t="shared" si="146"/>
        <v>0.5615371163847575</v>
      </c>
      <c r="AB98" s="23">
        <f t="shared" si="125"/>
        <v>0.7518472608560566</v>
      </c>
      <c r="AC98" s="23">
        <f>IF('DadosReais&amp;Graficos'!soilClass&gt;0,0.8-0.1*'DadosReais&amp;Graficos'!soilClass,IF('DadosReais&amp;Graficos'!soilClass&lt;0,SWconst0,999))</f>
        <v>0.6000000000000001</v>
      </c>
      <c r="AD98" s="23">
        <f>IF('DadosReais&amp;Graficos'!soilClass&gt;0,11-2*'DadosReais&amp;Graficos'!soilClass,SWpower0)</f>
        <v>7</v>
      </c>
      <c r="AE98" s="24">
        <f>1/(1+((1-CD98/'DadosReais&amp;Graficos'!MaxASW)/AC98)^AD98)</f>
        <v>0.16018785967829632</v>
      </c>
      <c r="AF98" s="24">
        <f t="shared" si="126"/>
        <v>0.6</v>
      </c>
      <c r="AG98" s="27">
        <f t="shared" si="85"/>
        <v>1</v>
      </c>
      <c r="AH98" s="27">
        <f t="shared" si="127"/>
        <v>0.5333333333333333</v>
      </c>
      <c r="AI98" s="27">
        <f t="shared" si="128"/>
        <v>0.993027354809582</v>
      </c>
      <c r="AJ98" s="24">
        <f t="shared" si="129"/>
        <v>0.1590709265689471</v>
      </c>
      <c r="AM98" s="27">
        <f t="shared" si="165"/>
        <v>286.5699853897095</v>
      </c>
      <c r="AN98" s="27">
        <f t="shared" si="130"/>
        <v>1</v>
      </c>
      <c r="AO98" s="27">
        <f t="shared" si="131"/>
        <v>0.8257112259435369</v>
      </c>
      <c r="AP98" s="27">
        <f t="shared" si="132"/>
        <v>236.62405395475847</v>
      </c>
      <c r="AQ98" s="27">
        <f t="shared" si="133"/>
        <v>0.002620177395914557</v>
      </c>
      <c r="AR98" s="27">
        <f t="shared" si="91"/>
        <v>0.14463379225448353</v>
      </c>
      <c r="AS98" s="27">
        <f t="shared" si="166"/>
        <v>1</v>
      </c>
      <c r="AT98" s="25">
        <f t="shared" si="167"/>
        <v>0.3422383426210624</v>
      </c>
      <c r="AU98" s="25">
        <f t="shared" si="92"/>
        <v>0.16085202103189933</v>
      </c>
      <c r="AW98" s="25">
        <f t="shared" si="93"/>
        <v>0.6</v>
      </c>
      <c r="AX98" s="25">
        <f t="shared" si="134"/>
        <v>0.09385212634500714</v>
      </c>
      <c r="AY98" s="25">
        <f t="shared" si="147"/>
        <v>0.40893128927646255</v>
      </c>
      <c r="AZ98" s="25">
        <f t="shared" si="135"/>
        <v>0.5403552239721213</v>
      </c>
      <c r="BA98" s="25">
        <f t="shared" si="136"/>
        <v>0.05071348675141618</v>
      </c>
      <c r="BB98" s="25">
        <f t="shared" si="148"/>
        <v>0.008157366837539743</v>
      </c>
      <c r="BC98" s="25">
        <f t="shared" si="149"/>
        <v>0.06577742434329927</v>
      </c>
      <c r="BD98" s="25">
        <f t="shared" si="150"/>
        <v>0.08691722985106033</v>
      </c>
      <c r="BG98" s="76">
        <f t="shared" si="168"/>
        <v>32509</v>
      </c>
      <c r="BH98" s="30">
        <f t="shared" si="151"/>
        <v>31</v>
      </c>
      <c r="BI98" s="27">
        <f>'PSP-1 Metdata'!D99</f>
        <v>9.050000369548798</v>
      </c>
      <c r="BJ98" s="28">
        <f>'PSP-1 Metdata'!E99</f>
        <v>16.200000762939453</v>
      </c>
      <c r="BK98" s="28">
        <f>'PSP-1 Metdata'!F99</f>
        <v>1.899999976158142</v>
      </c>
      <c r="BL98" s="28">
        <f>'PSP-1 Metdata'!G99</f>
        <v>33.2</v>
      </c>
      <c r="BM98" s="28">
        <f>'PSP-1 Metdata'!I99</f>
        <v>9.244193077087402</v>
      </c>
      <c r="BN98" s="28">
        <f>'PSP-1 Metdata'!J99</f>
        <v>4</v>
      </c>
      <c r="BO98" s="28">
        <f>'PSP-1 Metdata'!K99</f>
        <v>14</v>
      </c>
      <c r="BP98" s="25">
        <f>'PSP-1 Metdata'!L99</f>
        <v>18.414672339690902</v>
      </c>
      <c r="BQ98" s="25">
        <f>'PSP-1 Metdata'!M99</f>
        <v>7.005788890659067</v>
      </c>
      <c r="BR98" s="25">
        <f>'PSP-1 Metdata'!N99</f>
        <v>5.704441724515918</v>
      </c>
      <c r="BT98" s="25">
        <f t="shared" si="169"/>
        <v>34557.10261977032</v>
      </c>
      <c r="BU98" s="25">
        <f t="shared" si="152"/>
        <v>124.00389213877548</v>
      </c>
      <c r="BV98" s="25">
        <f t="shared" si="101"/>
        <v>0.2</v>
      </c>
      <c r="BW98" s="25">
        <f t="shared" si="153"/>
        <v>2094.835289163911</v>
      </c>
      <c r="BX98" s="25">
        <f t="shared" si="154"/>
        <v>0.0031814185313789422</v>
      </c>
      <c r="BY98" s="25">
        <f t="shared" si="137"/>
        <v>66.06503898413918</v>
      </c>
      <c r="BZ98" s="25">
        <f t="shared" si="138"/>
        <v>35.83807545224697</v>
      </c>
      <c r="CA98" s="27">
        <f t="shared" si="155"/>
        <v>0.503439045161939</v>
      </c>
      <c r="CB98" s="139">
        <f t="shared" si="170"/>
        <v>15.606610400020111</v>
      </c>
      <c r="CD98" s="27">
        <f>IF(CJ97&lt;'DadosReais&amp;Graficos'!MinASW,'DadosReais&amp;Graficos'!MinASW,IF(CJ97&gt;'DadosReais&amp;Graficos'!MaxASW,'DadosReais&amp;Graficos'!MaxASW,CJ97))</f>
        <v>47.9541861942164</v>
      </c>
      <c r="CE98" s="25">
        <f t="shared" si="156"/>
        <v>4.98</v>
      </c>
      <c r="CG98" s="27">
        <f t="shared" si="157"/>
        <v>81.15418619421641</v>
      </c>
      <c r="CH98" s="27">
        <f t="shared" si="171"/>
        <v>20.586610400020113</v>
      </c>
      <c r="CI98" s="27">
        <f>MAX(CG98-CH98-'DadosReais&amp;Graficos'!MaxASW,0)</f>
        <v>0</v>
      </c>
      <c r="CJ98" s="27">
        <f t="shared" si="172"/>
        <v>60.567575794196294</v>
      </c>
      <c r="CK98" s="27">
        <f>poolFractn*Month!CI98</f>
        <v>0</v>
      </c>
      <c r="CQ98" s="25">
        <f>SIN(PI()*'DadosReais&amp;Graficos'!Lat/180)</f>
        <v>0.6293203910498374</v>
      </c>
      <c r="CR98" s="25">
        <f>COS(PI()*'DadosReais&amp;Graficos'!Lat/180)</f>
        <v>0.7771459614569709</v>
      </c>
      <c r="CS98" s="25">
        <f t="shared" si="139"/>
        <v>1988</v>
      </c>
      <c r="CT98" s="29">
        <f t="shared" si="175"/>
        <v>32143</v>
      </c>
      <c r="CU98" s="30">
        <f t="shared" si="173"/>
        <v>1</v>
      </c>
      <c r="CV98" s="27">
        <f t="shared" si="158"/>
        <v>16</v>
      </c>
      <c r="CW98" s="25">
        <f t="shared" si="176"/>
        <v>-0.3566279806934116</v>
      </c>
      <c r="CX98" s="25">
        <f t="shared" si="140"/>
        <v>0.30911718809788097</v>
      </c>
      <c r="CY98" s="25">
        <f t="shared" si="177"/>
        <v>0.39996646550660087</v>
      </c>
      <c r="CZ98" s="25">
        <f t="shared" si="178"/>
        <v>34557.10261977032</v>
      </c>
    </row>
    <row r="99" spans="1:104" ht="12.75">
      <c r="A99" s="149">
        <f t="shared" si="159"/>
        <v>32536</v>
      </c>
      <c r="B99" s="60">
        <f t="shared" si="141"/>
        <v>13.83</v>
      </c>
      <c r="C99" s="78">
        <f t="shared" si="142"/>
        <v>13.833333333333368</v>
      </c>
      <c r="D99" s="171">
        <f t="shared" si="160"/>
        <v>216338.36724786038</v>
      </c>
      <c r="E99" s="30">
        <f t="shared" si="179"/>
        <v>1111</v>
      </c>
      <c r="F99" s="27">
        <f t="shared" si="161"/>
        <v>8.629808314298256</v>
      </c>
      <c r="G99" s="27">
        <f t="shared" si="162"/>
        <v>35.675657872557416</v>
      </c>
      <c r="H99" s="27">
        <f t="shared" si="163"/>
        <v>165.36405433221282</v>
      </c>
      <c r="I99" s="27">
        <f t="shared" si="164"/>
        <v>173.99386264651108</v>
      </c>
      <c r="J99" s="27">
        <f t="shared" si="117"/>
        <v>209.6695205190685</v>
      </c>
      <c r="K99" s="27">
        <f t="shared" si="118"/>
        <v>4.000000004248431</v>
      </c>
      <c r="L99" s="27">
        <f t="shared" si="119"/>
        <v>3.451923329385617</v>
      </c>
      <c r="M99" s="27">
        <f t="shared" si="120"/>
        <v>9.378249192216124</v>
      </c>
      <c r="O99" s="25">
        <f t="shared" si="74"/>
        <v>0.013</v>
      </c>
      <c r="P99" s="25">
        <f t="shared" si="121"/>
        <v>0.11218750808587731</v>
      </c>
      <c r="Q99" s="25">
        <f t="shared" si="122"/>
        <v>0.35675657872557415</v>
      </c>
      <c r="S99" s="27">
        <f t="shared" si="174"/>
        <v>148.84253315230677</v>
      </c>
      <c r="T99" s="27">
        <f t="shared" si="77"/>
        <v>18.46307313129058</v>
      </c>
      <c r="U99" s="27">
        <f t="shared" si="123"/>
        <v>0.15496623325480913</v>
      </c>
      <c r="V99" s="27">
        <f t="shared" si="124"/>
        <v>0.45</v>
      </c>
      <c r="W99" s="27">
        <f t="shared" si="143"/>
        <v>310.5293549257915</v>
      </c>
      <c r="X99" s="27">
        <f t="shared" si="144"/>
        <v>22.447905175358365</v>
      </c>
      <c r="Y99" s="27">
        <f t="shared" si="145"/>
        <v>29.74485938066456</v>
      </c>
      <c r="AA99" s="24">
        <f t="shared" si="146"/>
        <v>0.8307749512520731</v>
      </c>
      <c r="AB99" s="23">
        <f t="shared" si="125"/>
        <v>0.7530546014000916</v>
      </c>
      <c r="AC99" s="23">
        <f>IF('DadosReais&amp;Graficos'!soilClass&gt;0,0.8-0.1*'DadosReais&amp;Graficos'!soilClass,IF('DadosReais&amp;Graficos'!soilClass&lt;0,SWconst0,999))</f>
        <v>0.6000000000000001</v>
      </c>
      <c r="AD99" s="23">
        <f>IF('DadosReais&amp;Graficos'!soilClass&gt;0,11-2*'DadosReais&amp;Graficos'!soilClass,SWpower0)</f>
        <v>7</v>
      </c>
      <c r="AE99" s="24">
        <f>1/(1+((1-CD99/'DadosReais&amp;Graficos'!MaxASW)/AC99)^AD99)</f>
        <v>0.2591063902803443</v>
      </c>
      <c r="AF99" s="24">
        <f t="shared" si="126"/>
        <v>0.6</v>
      </c>
      <c r="AG99" s="27">
        <f t="shared" si="85"/>
        <v>1</v>
      </c>
      <c r="AH99" s="27">
        <f t="shared" si="127"/>
        <v>0.8</v>
      </c>
      <c r="AI99" s="27">
        <f t="shared" si="128"/>
        <v>0.9928579963569876</v>
      </c>
      <c r="AJ99" s="24">
        <f t="shared" si="129"/>
        <v>0.2572558514970343</v>
      </c>
      <c r="AM99" s="27">
        <f t="shared" si="165"/>
        <v>324.7800102233887</v>
      </c>
      <c r="AN99" s="27">
        <f t="shared" si="130"/>
        <v>1</v>
      </c>
      <c r="AO99" s="27">
        <f t="shared" si="131"/>
        <v>0.8219982085994764</v>
      </c>
      <c r="AP99" s="27">
        <f t="shared" si="132"/>
        <v>266.9685865925451</v>
      </c>
      <c r="AQ99" s="27">
        <f t="shared" si="133"/>
        <v>0.009403755569417407</v>
      </c>
      <c r="AR99" s="27">
        <f t="shared" si="91"/>
        <v>0.5190873074318408</v>
      </c>
      <c r="AS99" s="27">
        <f t="shared" si="166"/>
        <v>1</v>
      </c>
      <c r="AT99" s="25">
        <f t="shared" si="167"/>
        <v>1.3858000478320847</v>
      </c>
      <c r="AU99" s="25">
        <f t="shared" si="92"/>
        <v>0.6513260224810797</v>
      </c>
      <c r="AW99" s="25">
        <f t="shared" si="93"/>
        <v>0.6</v>
      </c>
      <c r="AX99" s="25">
        <f t="shared" si="134"/>
        <v>0.09384259307086569</v>
      </c>
      <c r="AY99" s="25">
        <f t="shared" si="147"/>
        <v>0.36760429993040533</v>
      </c>
      <c r="AZ99" s="25">
        <f t="shared" si="135"/>
        <v>0.57814141090831</v>
      </c>
      <c r="BA99" s="25">
        <f t="shared" si="136"/>
        <v>0.05425428916128472</v>
      </c>
      <c r="BB99" s="25">
        <f t="shared" si="148"/>
        <v>0.03533723036195793</v>
      </c>
      <c r="BC99" s="25">
        <f t="shared" si="149"/>
        <v>0.23943024652061276</v>
      </c>
      <c r="BD99" s="25">
        <f t="shared" si="150"/>
        <v>0.37655854559850904</v>
      </c>
      <c r="BG99" s="76">
        <f t="shared" si="168"/>
        <v>32540</v>
      </c>
      <c r="BH99" s="30">
        <f t="shared" si="151"/>
        <v>28</v>
      </c>
      <c r="BI99" s="27">
        <f>'PSP-1 Metdata'!D100</f>
        <v>11.500000476837158</v>
      </c>
      <c r="BJ99" s="28">
        <f>'PSP-1 Metdata'!E100</f>
        <v>17.700000762939453</v>
      </c>
      <c r="BK99" s="28">
        <f>'PSP-1 Metdata'!F100</f>
        <v>5.300000190734863</v>
      </c>
      <c r="BL99" s="28">
        <f>'PSP-1 Metdata'!G100</f>
        <v>78.47999877929688</v>
      </c>
      <c r="BM99" s="28">
        <f>'PSP-1 Metdata'!I100</f>
        <v>11.599286079406738</v>
      </c>
      <c r="BN99" s="28">
        <f>'PSP-1 Metdata'!J100</f>
        <v>11</v>
      </c>
      <c r="BO99" s="28">
        <f>'PSP-1 Metdata'!K100</f>
        <v>6</v>
      </c>
      <c r="BP99" s="25">
        <f>'PSP-1 Metdata'!L100</f>
        <v>20.251694228646116</v>
      </c>
      <c r="BQ99" s="25">
        <f>'PSP-1 Metdata'!M100</f>
        <v>8.906992548982615</v>
      </c>
      <c r="BR99" s="25">
        <f>'PSP-1 Metdata'!N100</f>
        <v>5.672350839831751</v>
      </c>
      <c r="BT99" s="25">
        <f t="shared" si="169"/>
        <v>37850.90307676919</v>
      </c>
      <c r="BU99" s="25">
        <f t="shared" si="152"/>
        <v>155.15739676553704</v>
      </c>
      <c r="BV99" s="25">
        <f t="shared" si="101"/>
        <v>0.2</v>
      </c>
      <c r="BW99" s="25">
        <f t="shared" si="153"/>
        <v>2083.0505920904066</v>
      </c>
      <c r="BX99" s="25">
        <f t="shared" si="154"/>
        <v>0.005145117029940686</v>
      </c>
      <c r="BY99" s="25">
        <f t="shared" si="137"/>
        <v>42.07180774239953</v>
      </c>
      <c r="BZ99" s="25">
        <f t="shared" si="138"/>
        <v>57.625212584609386</v>
      </c>
      <c r="CA99" s="27">
        <f t="shared" si="155"/>
        <v>0.8866529822431991</v>
      </c>
      <c r="CB99" s="139">
        <f t="shared" si="170"/>
        <v>24.826283502809574</v>
      </c>
      <c r="CD99" s="27">
        <f>IF(CJ98&lt;'DadosReais&amp;Graficos'!MinASW,'DadosReais&amp;Graficos'!MinASW,IF(CJ98&gt;'DadosReais&amp;Graficos'!MaxASW,'DadosReais&amp;Graficos'!MaxASW,CJ98))</f>
        <v>60.567575794196294</v>
      </c>
      <c r="CE99" s="25">
        <f t="shared" si="156"/>
        <v>11.771999816894532</v>
      </c>
      <c r="CG99" s="27">
        <f t="shared" si="157"/>
        <v>139.04757457349316</v>
      </c>
      <c r="CH99" s="27">
        <f t="shared" si="171"/>
        <v>36.59828331970411</v>
      </c>
      <c r="CI99" s="27">
        <f>MAX(CG99-CH99-'DadosReais&amp;Graficos'!MaxASW,0)</f>
        <v>0</v>
      </c>
      <c r="CJ99" s="27">
        <f t="shared" si="172"/>
        <v>102.44929125378906</v>
      </c>
      <c r="CK99" s="27">
        <f>poolFractn*Month!CI99</f>
        <v>0</v>
      </c>
      <c r="CQ99" s="25">
        <f>SIN(PI()*'DadosReais&amp;Graficos'!Lat/180)</f>
        <v>0.6293203910498374</v>
      </c>
      <c r="CR99" s="25">
        <f>COS(PI()*'DadosReais&amp;Graficos'!Lat/180)</f>
        <v>0.7771459614569709</v>
      </c>
      <c r="CS99" s="25">
        <f t="shared" si="139"/>
        <v>1989</v>
      </c>
      <c r="CT99" s="29">
        <f t="shared" si="175"/>
        <v>32509</v>
      </c>
      <c r="CU99" s="30">
        <f t="shared" si="173"/>
        <v>2</v>
      </c>
      <c r="CV99" s="27">
        <f t="shared" si="158"/>
        <v>44</v>
      </c>
      <c r="CW99" s="25">
        <f t="shared" si="176"/>
        <v>-0.2321535487640738</v>
      </c>
      <c r="CX99" s="25">
        <f t="shared" si="140"/>
        <v>0.19327466507755395</v>
      </c>
      <c r="CY99" s="25">
        <f t="shared" si="177"/>
        <v>0.43808915598112486</v>
      </c>
      <c r="CZ99" s="25">
        <f t="shared" si="178"/>
        <v>37850.90307676919</v>
      </c>
    </row>
    <row r="100" spans="1:104" ht="12.75">
      <c r="A100" s="149">
        <f t="shared" si="159"/>
        <v>32567</v>
      </c>
      <c r="B100" s="60">
        <f t="shared" si="141"/>
        <v>13.92</v>
      </c>
      <c r="C100" s="78">
        <f t="shared" si="142"/>
        <v>13.916666666666702</v>
      </c>
      <c r="D100" s="171">
        <f t="shared" si="160"/>
        <v>216047.0069767487</v>
      </c>
      <c r="E100" s="30">
        <f t="shared" si="179"/>
        <v>1111</v>
      </c>
      <c r="F100" s="27">
        <f t="shared" si="161"/>
        <v>8.552958036574335</v>
      </c>
      <c r="G100" s="27">
        <f t="shared" si="162"/>
        <v>35.558331540352455</v>
      </c>
      <c r="H100" s="27">
        <f t="shared" si="163"/>
        <v>165.74061287781132</v>
      </c>
      <c r="I100" s="27">
        <f t="shared" si="164"/>
        <v>174.29357091438564</v>
      </c>
      <c r="J100" s="27">
        <f t="shared" si="117"/>
        <v>209.8519024547381</v>
      </c>
      <c r="K100" s="27">
        <f t="shared" si="118"/>
        <v>4.0000000032873615</v>
      </c>
      <c r="L100" s="27">
        <f t="shared" si="119"/>
        <v>3.4211832174414005</v>
      </c>
      <c r="M100" s="27">
        <f t="shared" si="120"/>
        <v>9.490436700302002</v>
      </c>
      <c r="O100" s="25">
        <f t="shared" si="74"/>
        <v>0.013</v>
      </c>
      <c r="P100" s="25">
        <f t="shared" si="121"/>
        <v>0.11118845447546635</v>
      </c>
      <c r="Q100" s="25">
        <f t="shared" si="122"/>
        <v>0.35558331540352456</v>
      </c>
      <c r="S100" s="27">
        <f t="shared" si="174"/>
        <v>149.18146973700388</v>
      </c>
      <c r="T100" s="27">
        <f t="shared" si="77"/>
        <v>18.47859785977378</v>
      </c>
      <c r="U100" s="27">
        <f t="shared" si="123"/>
        <v>0.1548248542342663</v>
      </c>
      <c r="V100" s="27">
        <f t="shared" si="124"/>
        <v>0.45</v>
      </c>
      <c r="W100" s="27">
        <f t="shared" si="143"/>
        <v>311.28854810734714</v>
      </c>
      <c r="X100" s="27">
        <f t="shared" si="144"/>
        <v>22.36803938495902</v>
      </c>
      <c r="Y100" s="27">
        <f t="shared" si="145"/>
        <v>29.79490251349077</v>
      </c>
      <c r="AA100" s="24">
        <f t="shared" si="146"/>
        <v>0.9182634430308795</v>
      </c>
      <c r="AB100" s="23">
        <f t="shared" si="125"/>
        <v>0.7404216633169659</v>
      </c>
      <c r="AC100" s="23">
        <f>IF('DadosReais&amp;Graficos'!soilClass&gt;0,0.8-0.1*'DadosReais&amp;Graficos'!soilClass,IF('DadosReais&amp;Graficos'!soilClass&lt;0,SWconst0,999))</f>
        <v>0.6000000000000001</v>
      </c>
      <c r="AD100" s="23">
        <f>IF('DadosReais&amp;Graficos'!soilClass&gt;0,11-2*'DadosReais&amp;Graficos'!soilClass,SWpower0)</f>
        <v>7</v>
      </c>
      <c r="AE100" s="24">
        <f>1/(1+((1-CD100/'DadosReais&amp;Graficos'!MaxASW)/AC100)^AD100)</f>
        <v>0.8099731732275516</v>
      </c>
      <c r="AF100" s="24">
        <f t="shared" si="126"/>
        <v>0.6</v>
      </c>
      <c r="AG100" s="27">
        <f t="shared" si="85"/>
        <v>1</v>
      </c>
      <c r="AH100" s="27">
        <f t="shared" si="127"/>
        <v>0.9333333333333333</v>
      </c>
      <c r="AI100" s="27">
        <f t="shared" si="128"/>
        <v>0.9926856087415223</v>
      </c>
      <c r="AJ100" s="24">
        <f t="shared" si="129"/>
        <v>0.7350059295752128</v>
      </c>
      <c r="AM100" s="27">
        <f t="shared" si="165"/>
        <v>542.9899921417236</v>
      </c>
      <c r="AN100" s="27">
        <f t="shared" si="130"/>
        <v>1</v>
      </c>
      <c r="AO100" s="27">
        <f t="shared" si="131"/>
        <v>0.8192411775177143</v>
      </c>
      <c r="AP100" s="27">
        <f t="shared" si="132"/>
        <v>444.8397605425201</v>
      </c>
      <c r="AQ100" s="27">
        <f t="shared" si="133"/>
        <v>0.03464635921104548</v>
      </c>
      <c r="AR100" s="27">
        <f t="shared" si="91"/>
        <v>1.9124790284497104</v>
      </c>
      <c r="AS100" s="27">
        <f t="shared" si="166"/>
        <v>1</v>
      </c>
      <c r="AT100" s="25">
        <f t="shared" si="167"/>
        <v>8.507467130581606</v>
      </c>
      <c r="AU100" s="25">
        <f t="shared" si="92"/>
        <v>3.998509551373355</v>
      </c>
      <c r="AW100" s="25">
        <f t="shared" si="93"/>
        <v>0.6</v>
      </c>
      <c r="AX100" s="25">
        <f t="shared" si="134"/>
        <v>0.09380136024893893</v>
      </c>
      <c r="AY100" s="25">
        <f t="shared" si="147"/>
        <v>0.24642580301603412</v>
      </c>
      <c r="AZ100" s="25">
        <f t="shared" si="135"/>
        <v>0.6889497712934454</v>
      </c>
      <c r="BA100" s="25">
        <f t="shared" si="136"/>
        <v>0.06462442569052051</v>
      </c>
      <c r="BB100" s="25">
        <f t="shared" si="148"/>
        <v>0.2584013833755639</v>
      </c>
      <c r="BC100" s="25">
        <f t="shared" si="149"/>
        <v>0.9853359270644613</v>
      </c>
      <c r="BD100" s="25">
        <f t="shared" si="150"/>
        <v>2.7547722409333297</v>
      </c>
      <c r="BG100" s="76">
        <f t="shared" si="168"/>
        <v>32568</v>
      </c>
      <c r="BH100" s="30">
        <f t="shared" si="151"/>
        <v>31</v>
      </c>
      <c r="BI100" s="27">
        <f>'PSP-1 Metdata'!D101</f>
        <v>12.799999713897705</v>
      </c>
      <c r="BJ100" s="28">
        <f>'PSP-1 Metdata'!E101</f>
        <v>18.899999618530273</v>
      </c>
      <c r="BK100" s="28">
        <f>'PSP-1 Metdata'!F101</f>
        <v>6.699999809265137</v>
      </c>
      <c r="BL100" s="28">
        <f>'PSP-1 Metdata'!G101</f>
        <v>58.4</v>
      </c>
      <c r="BM100" s="28">
        <f>'PSP-1 Metdata'!I101</f>
        <v>17.515806198120117</v>
      </c>
      <c r="BN100" s="28">
        <f>'PSP-1 Metdata'!J101</f>
        <v>6</v>
      </c>
      <c r="BO100" s="28">
        <f>'PSP-1 Metdata'!K101</f>
        <v>2</v>
      </c>
      <c r="BP100" s="25">
        <f>'PSP-1 Metdata'!L101</f>
        <v>21.834892027836773</v>
      </c>
      <c r="BQ100" s="25">
        <f>'PSP-1 Metdata'!M101</f>
        <v>9.813474436884212</v>
      </c>
      <c r="BR100" s="25">
        <f>'PSP-1 Metdata'!N101</f>
        <v>6.010708795476281</v>
      </c>
      <c r="BT100" s="25">
        <f t="shared" si="169"/>
        <v>42434.28237611158</v>
      </c>
      <c r="BU100" s="25">
        <f t="shared" si="152"/>
        <v>240.21991120991657</v>
      </c>
      <c r="BV100" s="25">
        <f t="shared" si="101"/>
        <v>0.2</v>
      </c>
      <c r="BW100" s="25">
        <f t="shared" si="153"/>
        <v>2207.3053781122003</v>
      </c>
      <c r="BX100" s="25">
        <f t="shared" si="154"/>
        <v>0.014700118591504257</v>
      </c>
      <c r="BY100" s="25">
        <f t="shared" si="137"/>
        <v>16.805332416541688</v>
      </c>
      <c r="BZ100" s="25">
        <f t="shared" si="138"/>
        <v>162.792922803547</v>
      </c>
      <c r="CA100" s="27">
        <f t="shared" si="155"/>
        <v>2.8081304288935964</v>
      </c>
      <c r="CB100" s="139">
        <f t="shared" si="170"/>
        <v>87.0520432957015</v>
      </c>
      <c r="CD100" s="27">
        <f>IF(CJ99&lt;'DadosReais&amp;Graficos'!MinASW,'DadosReais&amp;Graficos'!MinASW,IF(CJ99&gt;'DadosReais&amp;Graficos'!MaxASW,'DadosReais&amp;Graficos'!MaxASW,CJ99))</f>
        <v>102.44929125378906</v>
      </c>
      <c r="CE100" s="25">
        <f t="shared" si="156"/>
        <v>8.76</v>
      </c>
      <c r="CG100" s="27">
        <f t="shared" si="157"/>
        <v>160.84929125378906</v>
      </c>
      <c r="CH100" s="27">
        <f t="shared" si="171"/>
        <v>95.8120432957015</v>
      </c>
      <c r="CI100" s="27">
        <f>MAX(CG100-CH100-'DadosReais&amp;Graficos'!MaxASW,0)</f>
        <v>0</v>
      </c>
      <c r="CJ100" s="27">
        <f t="shared" si="172"/>
        <v>65.03724795808756</v>
      </c>
      <c r="CK100" s="27">
        <f>poolFractn*Month!CI100</f>
        <v>0</v>
      </c>
      <c r="CQ100" s="25">
        <f>SIN(PI()*'DadosReais&amp;Graficos'!Lat/180)</f>
        <v>0.6293203910498374</v>
      </c>
      <c r="CR100" s="25">
        <f>COS(PI()*'DadosReais&amp;Graficos'!Lat/180)</f>
        <v>0.7771459614569709</v>
      </c>
      <c r="CS100" s="25">
        <f t="shared" si="139"/>
        <v>1989</v>
      </c>
      <c r="CT100" s="29">
        <f t="shared" si="175"/>
        <v>32509</v>
      </c>
      <c r="CU100" s="30">
        <f t="shared" si="173"/>
        <v>3</v>
      </c>
      <c r="CV100" s="27">
        <f t="shared" si="158"/>
        <v>75</v>
      </c>
      <c r="CW100" s="25">
        <f t="shared" si="176"/>
        <v>-0.03435761194480621</v>
      </c>
      <c r="CX100" s="25">
        <f t="shared" si="140"/>
        <v>0.027838681446559606</v>
      </c>
      <c r="CY100" s="25">
        <f t="shared" si="177"/>
        <v>0.49113752750129147</v>
      </c>
      <c r="CZ100" s="25">
        <f t="shared" si="178"/>
        <v>42434.28237611158</v>
      </c>
    </row>
    <row r="101" spans="1:104" ht="12.75">
      <c r="A101" s="149">
        <f t="shared" si="159"/>
        <v>32595</v>
      </c>
      <c r="B101" s="60">
        <f t="shared" si="141"/>
        <v>14</v>
      </c>
      <c r="C101" s="78">
        <f t="shared" si="142"/>
        <v>14.000000000000036</v>
      </c>
      <c r="D101" s="171">
        <f t="shared" si="160"/>
        <v>210529.77689352486</v>
      </c>
      <c r="E101" s="30">
        <f t="shared" si="179"/>
        <v>1111</v>
      </c>
      <c r="F101" s="27">
        <f t="shared" si="161"/>
        <v>8.700170965474433</v>
      </c>
      <c r="G101" s="27">
        <f t="shared" si="162"/>
        <v>36.188084152013396</v>
      </c>
      <c r="H101" s="27">
        <f t="shared" si="163"/>
        <v>168.49538511874465</v>
      </c>
      <c r="I101" s="27">
        <f t="shared" si="164"/>
        <v>177.19555608421908</v>
      </c>
      <c r="J101" s="27">
        <f t="shared" si="117"/>
        <v>213.38364023623248</v>
      </c>
      <c r="K101" s="27">
        <f t="shared" si="118"/>
        <v>4.000000002539787</v>
      </c>
      <c r="L101" s="27">
        <f t="shared" si="119"/>
        <v>3.4800683883994314</v>
      </c>
      <c r="M101" s="27">
        <f t="shared" si="120"/>
        <v>9.601625154777468</v>
      </c>
      <c r="O101" s="25">
        <f aca="true" t="shared" si="180" ref="O101:O148">gammaFx*gammaF0/(gammaF0+(gammaFx-gammaF0)*EXP(-12*LN(1+gammaFx/gammaF0)*C101/tgammaF))</f>
        <v>0.013</v>
      </c>
      <c r="P101" s="25">
        <f t="shared" si="121"/>
        <v>0.11310222255116763</v>
      </c>
      <c r="Q101" s="25">
        <f t="shared" si="122"/>
        <v>0.36188084152013394</v>
      </c>
      <c r="S101" s="27">
        <f t="shared" si="174"/>
        <v>151.66101270814102</v>
      </c>
      <c r="T101" s="27">
        <f aca="true" t="shared" si="181" ref="T101:T148">(S101/StemConst)^(1/StemPower)</f>
        <v>18.591500687097835</v>
      </c>
      <c r="U101" s="27">
        <f t="shared" si="123"/>
        <v>0.15468749999999995</v>
      </c>
      <c r="V101" s="27">
        <f t="shared" si="124"/>
        <v>0.45</v>
      </c>
      <c r="W101" s="27">
        <f aca="true" t="shared" si="182" ref="W101:W132">H101*(1-U101)/V101</f>
        <v>316.51390051819743</v>
      </c>
      <c r="X101" s="27">
        <f aca="true" t="shared" si="183" ref="X101:X132">W101/C101</f>
        <v>22.60813575129976</v>
      </c>
      <c r="Y101" s="27">
        <f aca="true" t="shared" si="184" ref="Y101:Y132">PI()/4*(T101/100)^2*E101</f>
        <v>30.160103968012738</v>
      </c>
      <c r="AA101" s="24">
        <f aca="true" t="shared" si="185" ref="AA101:AA132">IF(OR(BI101&lt;=Tmin,BI101&gt;=Tmax),0,(BI101-Tmin)/(Topt-Tmin)*((Tmax-BI101)/(Tmax-Topt))^((Tmax-Topt)/(Topt-Tmin)))</f>
        <v>0.8981411121561018</v>
      </c>
      <c r="AB101" s="23">
        <f t="shared" si="125"/>
        <v>0.8080361774124145</v>
      </c>
      <c r="AC101" s="23">
        <f>IF('DadosReais&amp;Graficos'!soilClass&gt;0,0.8-0.1*'DadosReais&amp;Graficos'!soilClass,IF('DadosReais&amp;Graficos'!soilClass&lt;0,SWconst0,999))</f>
        <v>0.6000000000000001</v>
      </c>
      <c r="AD101" s="23">
        <f>IF('DadosReais&amp;Graficos'!soilClass&gt;0,11-2*'DadosReais&amp;Graficos'!soilClass,SWpower0)</f>
        <v>7</v>
      </c>
      <c r="AE101" s="24">
        <f>1/(1+((1-CD101/'DadosReais&amp;Graficos'!MaxASW)/AC101)^AD101)</f>
        <v>0.3052227171688748</v>
      </c>
      <c r="AF101" s="24">
        <f t="shared" si="126"/>
        <v>0.6</v>
      </c>
      <c r="AG101" s="27">
        <f aca="true" t="shared" si="186" ref="AG101:AG148">fN0+(1-fN0)*AF101</f>
        <v>1</v>
      </c>
      <c r="AH101" s="27">
        <f t="shared" si="127"/>
        <v>1</v>
      </c>
      <c r="AI101" s="27">
        <f t="shared" si="128"/>
        <v>0.9925101578583517</v>
      </c>
      <c r="AJ101" s="24">
        <f t="shared" si="129"/>
        <v>0.30293664719923497</v>
      </c>
      <c r="AM101" s="27">
        <f t="shared" si="165"/>
        <v>551.3299942016602</v>
      </c>
      <c r="AN101" s="27">
        <f t="shared" si="130"/>
        <v>1</v>
      </c>
      <c r="AO101" s="27">
        <f t="shared" si="131"/>
        <v>0.8244856010600241</v>
      </c>
      <c r="AP101" s="27">
        <f t="shared" si="132"/>
        <v>454.56364165177536</v>
      </c>
      <c r="AQ101" s="27">
        <f t="shared" si="133"/>
        <v>0.014964392147559884</v>
      </c>
      <c r="AR101" s="27">
        <f aca="true" t="shared" si="187" ref="AR101:AR149">gDM_mol*molPAR_MJ*AQ101</f>
        <v>0.8260344465453056</v>
      </c>
      <c r="AS101" s="27">
        <f t="shared" si="166"/>
        <v>1</v>
      </c>
      <c r="AT101" s="25">
        <f t="shared" si="167"/>
        <v>3.754852261514429</v>
      </c>
      <c r="AU101" s="25">
        <f aca="true" t="shared" si="188" ref="AU101:AU149">AT101*Y</f>
        <v>1.7647805629117814</v>
      </c>
      <c r="AW101" s="25">
        <f aca="true" t="shared" si="189" ref="AW101:AW149">m0+(1-m0)*AF101</f>
        <v>0.6</v>
      </c>
      <c r="AX101" s="25">
        <f t="shared" si="134"/>
        <v>0.09350307546235244</v>
      </c>
      <c r="AY101" s="25">
        <f aca="true" t="shared" si="190" ref="AY101:AY132">pRx*pRn/(pRn+(pRx-pRn)*AJ101*AW101)</f>
        <v>0.35109615229210767</v>
      </c>
      <c r="AZ101" s="25">
        <f t="shared" si="135"/>
        <v>0.5934174875855053</v>
      </c>
      <c r="BA101" s="25">
        <f t="shared" si="136"/>
        <v>0.05548636012238706</v>
      </c>
      <c r="BB101" s="25">
        <f aca="true" t="shared" si="191" ref="BB101:BB132">AU101*BA101</f>
        <v>0.09792124985071206</v>
      </c>
      <c r="BC101" s="25">
        <f aca="true" t="shared" si="192" ref="BC101:BC132">AU101*AY101</f>
        <v>0.6196076652782263</v>
      </c>
      <c r="BD101" s="25">
        <f aca="true" t="shared" si="193" ref="BD101:BD132">AU101*AZ101</f>
        <v>1.047251647782843</v>
      </c>
      <c r="BG101" s="76">
        <f t="shared" si="168"/>
        <v>32599</v>
      </c>
      <c r="BH101" s="30">
        <f aca="true" t="shared" si="194" ref="BH101:BH132">IF((BG102-BG101)=29,28,(BG102-BG101))</f>
        <v>30</v>
      </c>
      <c r="BI101" s="27">
        <f>'PSP-1 Metdata'!D102</f>
        <v>12.449999809265137</v>
      </c>
      <c r="BJ101" s="28">
        <f>'PSP-1 Metdata'!E102</f>
        <v>16.899999618530273</v>
      </c>
      <c r="BK101" s="28">
        <f>'PSP-1 Metdata'!F102</f>
        <v>8</v>
      </c>
      <c r="BL101" s="28">
        <f>'PSP-1 Metdata'!G102</f>
        <v>72.47999877929688</v>
      </c>
      <c r="BM101" s="28">
        <f>'PSP-1 Metdata'!I102</f>
        <v>18.377666473388672</v>
      </c>
      <c r="BN101" s="28">
        <f>'PSP-1 Metdata'!J102</f>
        <v>19</v>
      </c>
      <c r="BO101" s="28">
        <f>'PSP-1 Metdata'!K102</f>
        <v>0</v>
      </c>
      <c r="BP101" s="25">
        <f>'PSP-1 Metdata'!L102</f>
        <v>19.25292504323271</v>
      </c>
      <c r="BQ101" s="25">
        <f>'PSP-1 Metdata'!M102</f>
        <v>10.726987145708597</v>
      </c>
      <c r="BR101" s="25">
        <f>'PSP-1 Metdata'!N102</f>
        <v>4.262968948762057</v>
      </c>
      <c r="BT101" s="25">
        <f t="shared" si="169"/>
        <v>46978.19870062779</v>
      </c>
      <c r="BU101" s="25">
        <f aca="true" t="shared" si="195" ref="BU101:BU132">Qa+Qb*(BM101*10^6/BT101)</f>
        <v>222.95651143206703</v>
      </c>
      <c r="BV101" s="25">
        <f aca="true" t="shared" si="196" ref="BV101:BV149">BLcond</f>
        <v>0.2</v>
      </c>
      <c r="BW101" s="25">
        <f aca="true" t="shared" si="197" ref="BW101:BW132">rhoAir*lambda*(VPDconv*BR101)*BV101</f>
        <v>1565.484971491152</v>
      </c>
      <c r="BX101" s="25">
        <f aca="true" t="shared" si="198" ref="BX101:BX132">IF(MaxCond*AJ101*MIN(1,L101/LAIgcx)=0,0.0001,MaxCond*AJ101*MIN(1,L101/LAIgcx))</f>
        <v>0.006058732943984699</v>
      </c>
      <c r="BY101" s="25">
        <f t="shared" si="137"/>
        <v>36.210202273161144</v>
      </c>
      <c r="BZ101" s="25">
        <f t="shared" si="138"/>
        <v>56.77928228988631</v>
      </c>
      <c r="CA101" s="27">
        <f t="shared" si="155"/>
        <v>1.0843042298753316</v>
      </c>
      <c r="CB101" s="139">
        <f t="shared" si="170"/>
        <v>32.529126896259946</v>
      </c>
      <c r="CD101" s="27">
        <f>IF(CJ100&lt;'DadosReais&amp;Graficos'!MinASW,'DadosReais&amp;Graficos'!MinASW,IF(CJ100&gt;'DadosReais&amp;Graficos'!MaxASW,'DadosReais&amp;Graficos'!MaxASW,CJ100))</f>
        <v>65.03724795808756</v>
      </c>
      <c r="CE101" s="25">
        <f aca="true" t="shared" si="199" ref="CE101:CE132">IF(LAImaxIntcptn&lt;=0,BL101*MaxIntcptn,BL101*MaxIntcptn*MIN(1,L101/LAImaxIntcptn))</f>
        <v>10.871999816894531</v>
      </c>
      <c r="CG101" s="27">
        <f aca="true" t="shared" si="200" ref="CG101:CG132">CD101+BL101+CF101+CK100</f>
        <v>137.51724673738443</v>
      </c>
      <c r="CH101" s="27">
        <f t="shared" si="171"/>
        <v>43.401126713154476</v>
      </c>
      <c r="CI101" s="27">
        <f>MAX(CG101-CH101-'DadosReais&amp;Graficos'!MaxASW,0)</f>
        <v>0</v>
      </c>
      <c r="CJ101" s="27">
        <f t="shared" si="172"/>
        <v>94.11612002422996</v>
      </c>
      <c r="CK101" s="27">
        <f>poolFractn*Month!CI101</f>
        <v>0</v>
      </c>
      <c r="CQ101" s="25">
        <f>SIN(PI()*'DadosReais&amp;Graficos'!Lat/180)</f>
        <v>0.6293203910498374</v>
      </c>
      <c r="CR101" s="25">
        <f>COS(PI()*'DadosReais&amp;Graficos'!Lat/180)</f>
        <v>0.7771459614569709</v>
      </c>
      <c r="CS101" s="25">
        <f t="shared" si="139"/>
        <v>1989</v>
      </c>
      <c r="CT101" s="29">
        <f t="shared" si="175"/>
        <v>32509</v>
      </c>
      <c r="CU101" s="30">
        <f t="shared" si="173"/>
        <v>4</v>
      </c>
      <c r="CV101" s="27">
        <f aca="true" t="shared" si="201" ref="CV101:CV132">LOOKUP(CU101,CM$5:CM$16,CO$5:CO$16)</f>
        <v>105</v>
      </c>
      <c r="CW101" s="25">
        <f t="shared" si="176"/>
        <v>0.16674832097168432</v>
      </c>
      <c r="CX101" s="25">
        <f t="shared" si="140"/>
        <v>-0.13694746197546548</v>
      </c>
      <c r="CY101" s="25">
        <f t="shared" si="177"/>
        <v>0.5437291516276365</v>
      </c>
      <c r="CZ101" s="25">
        <f t="shared" si="178"/>
        <v>46978.19870062779</v>
      </c>
    </row>
    <row r="102" spans="1:104" ht="12.75">
      <c r="A102" s="149">
        <f aca="true" t="shared" si="202" ref="A102:A133">EDATE(A101,1)</f>
        <v>32626</v>
      </c>
      <c r="B102" s="60">
        <f t="shared" si="141"/>
        <v>14.08</v>
      </c>
      <c r="C102" s="78">
        <f t="shared" si="142"/>
        <v>14.08333333333337</v>
      </c>
      <c r="D102" s="171">
        <f t="shared" si="160"/>
        <v>208572.42170306138</v>
      </c>
      <c r="E102" s="30">
        <f t="shared" si="179"/>
        <v>1111</v>
      </c>
      <c r="F102" s="27">
        <f aca="true" t="shared" si="203" ref="F102:F133">F101+BB101-P101</f>
        <v>8.684989992773977</v>
      </c>
      <c r="G102" s="27">
        <f aca="true" t="shared" si="204" ref="G102:G133">G101+BC101-Q101</f>
        <v>36.44581097577149</v>
      </c>
      <c r="H102" s="27">
        <f aca="true" t="shared" si="205" ref="H102:H133">H101+BD101</f>
        <v>169.5426367665275</v>
      </c>
      <c r="I102" s="27">
        <f t="shared" si="164"/>
        <v>178.22762675930147</v>
      </c>
      <c r="J102" s="27">
        <f t="shared" si="117"/>
        <v>214.67343773507295</v>
      </c>
      <c r="K102" s="27">
        <f t="shared" si="118"/>
        <v>4.000000001959198</v>
      </c>
      <c r="L102" s="27">
        <f t="shared" si="119"/>
        <v>3.4739959988111524</v>
      </c>
      <c r="M102" s="27">
        <f t="shared" si="120"/>
        <v>9.714727377328636</v>
      </c>
      <c r="O102" s="25">
        <f t="shared" si="180"/>
        <v>0.013</v>
      </c>
      <c r="P102" s="25">
        <f t="shared" si="121"/>
        <v>0.11290486990606169</v>
      </c>
      <c r="Q102" s="25">
        <f t="shared" si="122"/>
        <v>0.36445810975771487</v>
      </c>
      <c r="S102" s="27">
        <f t="shared" si="174"/>
        <v>152.60363345322006</v>
      </c>
      <c r="T102" s="27">
        <f t="shared" si="181"/>
        <v>18.634116297682763</v>
      </c>
      <c r="U102" s="27">
        <f t="shared" si="123"/>
        <v>0.15455405597415747</v>
      </c>
      <c r="V102" s="27">
        <f t="shared" si="124"/>
        <v>0.45</v>
      </c>
      <c r="W102" s="27">
        <f t="shared" si="182"/>
        <v>318.5314102082385</v>
      </c>
      <c r="X102" s="27">
        <f t="shared" si="183"/>
        <v>22.617614926028715</v>
      </c>
      <c r="Y102" s="27">
        <f t="shared" si="184"/>
        <v>30.298528976926807</v>
      </c>
      <c r="AA102" s="24">
        <f t="shared" si="185"/>
        <v>0.9931903963460496</v>
      </c>
      <c r="AB102" s="23">
        <f t="shared" si="125"/>
        <v>0.6834822716165772</v>
      </c>
      <c r="AC102" s="23">
        <f>IF('DadosReais&amp;Graficos'!soilClass&gt;0,0.8-0.1*'DadosReais&amp;Graficos'!soilClass,IF('DadosReais&amp;Graficos'!soilClass&lt;0,SWconst0,999))</f>
        <v>0.6000000000000001</v>
      </c>
      <c r="AD102" s="23">
        <f>IF('DadosReais&amp;Graficos'!soilClass&gt;0,11-2*'DadosReais&amp;Graficos'!soilClass,SWpower0)</f>
        <v>7</v>
      </c>
      <c r="AE102" s="24">
        <f>1/(1+((1-CD102/'DadosReais&amp;Graficos'!MaxASW)/AC102)^AD102)</f>
        <v>0.706001157644904</v>
      </c>
      <c r="AF102" s="24">
        <f t="shared" si="126"/>
        <v>0.6</v>
      </c>
      <c r="AG102" s="27">
        <f t="shared" si="186"/>
        <v>1</v>
      </c>
      <c r="AH102" s="27">
        <f t="shared" si="127"/>
        <v>1</v>
      </c>
      <c r="AI102" s="27">
        <f t="shared" si="128"/>
        <v>0.9923316094866076</v>
      </c>
      <c r="AJ102" s="24">
        <f t="shared" si="129"/>
        <v>0.6782410626488407</v>
      </c>
      <c r="AM102" s="27">
        <f t="shared" si="165"/>
        <v>751.4000225067139</v>
      </c>
      <c r="AN102" s="27">
        <f t="shared" si="130"/>
        <v>1</v>
      </c>
      <c r="AO102" s="27">
        <f t="shared" si="131"/>
        <v>0.8239518953484106</v>
      </c>
      <c r="AP102" s="27">
        <f t="shared" si="132"/>
        <v>619.1174727092452</v>
      </c>
      <c r="AQ102" s="27">
        <f t="shared" si="133"/>
        <v>0.03704923804067023</v>
      </c>
      <c r="AR102" s="27">
        <f t="shared" si="187"/>
        <v>2.0451179398449963</v>
      </c>
      <c r="AS102" s="27">
        <f t="shared" si="166"/>
        <v>1</v>
      </c>
      <c r="AT102" s="25">
        <f t="shared" si="167"/>
        <v>12.661682503091724</v>
      </c>
      <c r="AU102" s="25">
        <f t="shared" si="188"/>
        <v>5.95099077645311</v>
      </c>
      <c r="AW102" s="25">
        <f t="shared" si="189"/>
        <v>0.6</v>
      </c>
      <c r="AX102" s="25">
        <f t="shared" si="134"/>
        <v>0.09339120280795837</v>
      </c>
      <c r="AY102" s="25">
        <f t="shared" si="190"/>
        <v>0.2564710877079543</v>
      </c>
      <c r="AZ102" s="25">
        <f t="shared" si="135"/>
        <v>0.6800209388758343</v>
      </c>
      <c r="BA102" s="25">
        <f t="shared" si="136"/>
        <v>0.0635079734162114</v>
      </c>
      <c r="BB102" s="25">
        <f t="shared" si="191"/>
        <v>0.3779353640311033</v>
      </c>
      <c r="BC102" s="25">
        <f t="shared" si="192"/>
        <v>1.5262570773769326</v>
      </c>
      <c r="BD102" s="25">
        <f t="shared" si="193"/>
        <v>4.046798335045073</v>
      </c>
      <c r="BG102" s="76">
        <f aca="true" t="shared" si="206" ref="BG102:BG133">EDATE(BG101,1)</f>
        <v>32629</v>
      </c>
      <c r="BH102" s="30">
        <f t="shared" si="194"/>
        <v>31</v>
      </c>
      <c r="BI102" s="27">
        <f>'PSP-1 Metdata'!D103</f>
        <v>17</v>
      </c>
      <c r="BJ102" s="28">
        <f>'PSP-1 Metdata'!E103</f>
        <v>23.100000381469727</v>
      </c>
      <c r="BK102" s="28">
        <f>'PSP-1 Metdata'!F103</f>
        <v>10.899999618530273</v>
      </c>
      <c r="BL102" s="28">
        <f>'PSP-1 Metdata'!G103</f>
        <v>55.92000122070313</v>
      </c>
      <c r="BM102" s="28">
        <f>'PSP-1 Metdata'!I103</f>
        <v>24.238710403442383</v>
      </c>
      <c r="BN102" s="28">
        <f>'PSP-1 Metdata'!J103</f>
        <v>11</v>
      </c>
      <c r="BO102" s="28">
        <f>'PSP-1 Metdata'!K103</f>
        <v>0</v>
      </c>
      <c r="BP102" s="25">
        <f>'PSP-1 Metdata'!L103</f>
        <v>28.261319999760662</v>
      </c>
      <c r="BQ102" s="25">
        <f>'PSP-1 Metdata'!M103</f>
        <v>13.039137567600497</v>
      </c>
      <c r="BR102" s="25">
        <f>'PSP-1 Metdata'!N103</f>
        <v>7.611091216080083</v>
      </c>
      <c r="BT102" s="25">
        <f t="shared" si="169"/>
        <v>51049.507507765746</v>
      </c>
      <c r="BU102" s="25">
        <f t="shared" si="195"/>
        <v>289.84633485061767</v>
      </c>
      <c r="BV102" s="25">
        <f t="shared" si="196"/>
        <v>0.2</v>
      </c>
      <c r="BW102" s="25">
        <f t="shared" si="197"/>
        <v>2795.01189397163</v>
      </c>
      <c r="BX102" s="25">
        <f t="shared" si="198"/>
        <v>0.013564821252976813</v>
      </c>
      <c r="BY102" s="25">
        <f t="shared" si="137"/>
        <v>17.94402030591519</v>
      </c>
      <c r="BZ102" s="25">
        <f t="shared" si="138"/>
        <v>191.2990384608191</v>
      </c>
      <c r="CA102" s="27">
        <f t="shared" si="155"/>
        <v>3.9698055691601435</v>
      </c>
      <c r="CB102" s="139">
        <f t="shared" si="170"/>
        <v>123.06397264396445</v>
      </c>
      <c r="CD102" s="27">
        <f>IF(CJ101&lt;'DadosReais&amp;Graficos'!MinASW,'DadosReais&amp;Graficos'!MinASW,IF(CJ101&gt;'DadosReais&amp;Graficos'!MaxASW,'DadosReais&amp;Graficos'!MaxASW,CJ101))</f>
        <v>94.11612002422996</v>
      </c>
      <c r="CE102" s="25">
        <f t="shared" si="199"/>
        <v>8.388000183105468</v>
      </c>
      <c r="CG102" s="27">
        <f t="shared" si="200"/>
        <v>150.0361212449331</v>
      </c>
      <c r="CH102" s="27">
        <f t="shared" si="171"/>
        <v>131.4519728270699</v>
      </c>
      <c r="CI102" s="27">
        <f>MAX(CG102-CH102-'DadosReais&amp;Graficos'!MaxASW,0)</f>
        <v>0</v>
      </c>
      <c r="CJ102" s="27">
        <f t="shared" si="172"/>
        <v>18.58414841786319</v>
      </c>
      <c r="CK102" s="27">
        <f>poolFractn*Month!CI102</f>
        <v>0</v>
      </c>
      <c r="CQ102" s="25">
        <f>SIN(PI()*'DadosReais&amp;Graficos'!Lat/180)</f>
        <v>0.6293203910498374</v>
      </c>
      <c r="CR102" s="25">
        <f>COS(PI()*'DadosReais&amp;Graficos'!Lat/180)</f>
        <v>0.7771459614569709</v>
      </c>
      <c r="CS102" s="25">
        <f t="shared" si="139"/>
        <v>1989</v>
      </c>
      <c r="CT102" s="29">
        <f t="shared" si="175"/>
        <v>32509</v>
      </c>
      <c r="CU102" s="30">
        <f t="shared" si="173"/>
        <v>5</v>
      </c>
      <c r="CV102" s="27">
        <f t="shared" si="201"/>
        <v>136</v>
      </c>
      <c r="CW102" s="25">
        <f t="shared" si="176"/>
        <v>0.328409053946799</v>
      </c>
      <c r="CX102" s="25">
        <f t="shared" si="140"/>
        <v>-0.2815567874772962</v>
      </c>
      <c r="CY102" s="25">
        <f t="shared" si="177"/>
        <v>0.5908507813398813</v>
      </c>
      <c r="CZ102" s="25">
        <f t="shared" si="178"/>
        <v>51049.507507765746</v>
      </c>
    </row>
    <row r="103" spans="1:104" ht="12.75">
      <c r="A103" s="149">
        <f t="shared" si="202"/>
        <v>32656</v>
      </c>
      <c r="B103" s="60">
        <f t="shared" si="141"/>
        <v>14.17</v>
      </c>
      <c r="C103" s="78">
        <f t="shared" si="142"/>
        <v>14.166666666666703</v>
      </c>
      <c r="D103" s="171">
        <f t="shared" si="160"/>
        <v>200589.53401448004</v>
      </c>
      <c r="E103" s="30">
        <f t="shared" si="179"/>
        <v>1111</v>
      </c>
      <c r="F103" s="27">
        <f t="shared" si="203"/>
        <v>8.950020486899017</v>
      </c>
      <c r="G103" s="27">
        <f t="shared" si="204"/>
        <v>37.607609943390706</v>
      </c>
      <c r="H103" s="27">
        <f t="shared" si="205"/>
        <v>173.58943510157258</v>
      </c>
      <c r="I103" s="27">
        <f t="shared" si="164"/>
        <v>182.53945558847158</v>
      </c>
      <c r="J103" s="27">
        <f t="shared" si="117"/>
        <v>220.1470655318623</v>
      </c>
      <c r="K103" s="27">
        <f t="shared" si="118"/>
        <v>4.0000000015090045</v>
      </c>
      <c r="L103" s="27">
        <f t="shared" si="119"/>
        <v>3.580008196110169</v>
      </c>
      <c r="M103" s="27">
        <f t="shared" si="120"/>
        <v>9.827632247234698</v>
      </c>
      <c r="O103" s="25">
        <f t="shared" si="180"/>
        <v>0.013</v>
      </c>
      <c r="P103" s="25">
        <f t="shared" si="121"/>
        <v>0.11635026632968722</v>
      </c>
      <c r="Q103" s="25">
        <f t="shared" si="122"/>
        <v>0.3760760994339071</v>
      </c>
      <c r="S103" s="27">
        <f t="shared" si="174"/>
        <v>156.24611620303563</v>
      </c>
      <c r="T103" s="27">
        <f t="shared" si="181"/>
        <v>18.797249899868543</v>
      </c>
      <c r="U103" s="27">
        <f t="shared" si="123"/>
        <v>0.1544244108406954</v>
      </c>
      <c r="V103" s="27">
        <f t="shared" si="124"/>
        <v>0.45</v>
      </c>
      <c r="W103" s="27">
        <f t="shared" si="182"/>
        <v>326.1844196840958</v>
      </c>
      <c r="X103" s="27">
        <f t="shared" si="183"/>
        <v>23.024782565936114</v>
      </c>
      <c r="Y103" s="27">
        <f t="shared" si="184"/>
        <v>30.83135207690638</v>
      </c>
      <c r="AA103" s="24">
        <f t="shared" si="185"/>
        <v>0.9470232065541528</v>
      </c>
      <c r="AB103" s="23">
        <f t="shared" si="125"/>
        <v>0.6792653034330368</v>
      </c>
      <c r="AC103" s="23">
        <f>IF('DadosReais&amp;Graficos'!soilClass&gt;0,0.8-0.1*'DadosReais&amp;Graficos'!soilClass,IF('DadosReais&amp;Graficos'!soilClass&lt;0,SWconst0,999))</f>
        <v>0.6000000000000001</v>
      </c>
      <c r="AD103" s="23">
        <f>IF('DadosReais&amp;Graficos'!soilClass&gt;0,11-2*'DadosReais&amp;Graficos'!soilClass,SWpower0)</f>
        <v>7</v>
      </c>
      <c r="AE103" s="24">
        <f>1/(1+((1-CD103/'DadosReais&amp;Graficos'!MaxASW)/AC103)^AD103)</f>
        <v>0.0524956494319346</v>
      </c>
      <c r="AF103" s="24">
        <f t="shared" si="126"/>
        <v>0.6</v>
      </c>
      <c r="AG103" s="27">
        <f t="shared" si="186"/>
        <v>1</v>
      </c>
      <c r="AH103" s="27">
        <f t="shared" si="127"/>
        <v>1</v>
      </c>
      <c r="AI103" s="27">
        <f t="shared" si="128"/>
        <v>0.9921499292919361</v>
      </c>
      <c r="AJ103" s="24">
        <f t="shared" si="129"/>
        <v>0.052083554872028176</v>
      </c>
      <c r="AM103" s="27">
        <f t="shared" si="165"/>
        <v>848.7099838256836</v>
      </c>
      <c r="AN103" s="27">
        <f t="shared" si="130"/>
        <v>1</v>
      </c>
      <c r="AO103" s="27">
        <f t="shared" si="131"/>
        <v>0.8330405145435296</v>
      </c>
      <c r="AP103" s="27">
        <f t="shared" si="132"/>
        <v>707.0098016243782</v>
      </c>
      <c r="AQ103" s="27">
        <f t="shared" si="133"/>
        <v>0.002712838432900601</v>
      </c>
      <c r="AR103" s="27">
        <f t="shared" si="187"/>
        <v>0.14974868149611317</v>
      </c>
      <c r="AS103" s="27">
        <f t="shared" si="166"/>
        <v>1</v>
      </c>
      <c r="AT103" s="25">
        <f t="shared" si="167"/>
        <v>1.0587378559807916</v>
      </c>
      <c r="AU103" s="25">
        <f t="shared" si="188"/>
        <v>0.49760679231097205</v>
      </c>
      <c r="AW103" s="25">
        <f t="shared" si="189"/>
        <v>0.6</v>
      </c>
      <c r="AX103" s="25">
        <f t="shared" si="134"/>
        <v>0.09296652639192224</v>
      </c>
      <c r="AY103" s="25">
        <f t="shared" si="190"/>
        <v>0.46601928276086196</v>
      </c>
      <c r="AZ103" s="25">
        <f t="shared" si="135"/>
        <v>0.48856090680279457</v>
      </c>
      <c r="BA103" s="25">
        <f t="shared" si="136"/>
        <v>0.04541981043634341</v>
      </c>
      <c r="BB103" s="25">
        <f t="shared" si="191"/>
        <v>0.022601206178601257</v>
      </c>
      <c r="BC103" s="25">
        <f t="shared" si="192"/>
        <v>0.2318943604496924</v>
      </c>
      <c r="BD103" s="25">
        <f t="shared" si="193"/>
        <v>0.24311122568267837</v>
      </c>
      <c r="BG103" s="76">
        <f t="shared" si="206"/>
        <v>32660</v>
      </c>
      <c r="BH103" s="30">
        <f t="shared" si="194"/>
        <v>30</v>
      </c>
      <c r="BI103" s="27">
        <f>'PSP-1 Metdata'!D104</f>
        <v>18.90000009536743</v>
      </c>
      <c r="BJ103" s="28">
        <f>'PSP-1 Metdata'!E104</f>
        <v>24.5</v>
      </c>
      <c r="BK103" s="28">
        <f>'PSP-1 Metdata'!F104</f>
        <v>13.300000190734863</v>
      </c>
      <c r="BL103" s="28">
        <f>'PSP-1 Metdata'!G104</f>
        <v>0</v>
      </c>
      <c r="BM103" s="28">
        <f>'PSP-1 Metdata'!I104</f>
        <v>28.290332794189453</v>
      </c>
      <c r="BN103" s="28">
        <f>'PSP-1 Metdata'!J104</f>
        <v>0</v>
      </c>
      <c r="BO103" s="28">
        <f>'PSP-1 Metdata'!K104</f>
        <v>0</v>
      </c>
      <c r="BP103" s="25">
        <f>'PSP-1 Metdata'!L104</f>
        <v>30.74260663097627</v>
      </c>
      <c r="BQ103" s="25">
        <f>'PSP-1 Metdata'!M104</f>
        <v>15.272866589706718</v>
      </c>
      <c r="BR103" s="25">
        <f>'PSP-1 Metdata'!N104</f>
        <v>7.734870020634776</v>
      </c>
      <c r="BT103" s="25">
        <f t="shared" si="169"/>
        <v>53082.57808162483</v>
      </c>
      <c r="BU103" s="25">
        <f t="shared" si="195"/>
        <v>336.35959015686905</v>
      </c>
      <c r="BV103" s="25">
        <f t="shared" si="196"/>
        <v>0.2</v>
      </c>
      <c r="BW103" s="25">
        <f t="shared" si="197"/>
        <v>2840.4670358336843</v>
      </c>
      <c r="BX103" s="25">
        <f t="shared" si="198"/>
        <v>0.0010416710974405635</v>
      </c>
      <c r="BY103" s="25">
        <f t="shared" si="137"/>
        <v>195.1991833232291</v>
      </c>
      <c r="BZ103" s="25">
        <f t="shared" si="138"/>
        <v>18.342587674918384</v>
      </c>
      <c r="CA103" s="27">
        <f t="shared" si="155"/>
        <v>0.3958015619808554</v>
      </c>
      <c r="CB103" s="139">
        <f t="shared" si="170"/>
        <v>11.874046859425663</v>
      </c>
      <c r="CD103" s="27">
        <f>IF(CJ102&lt;'DadosReais&amp;Graficos'!MinASW,'DadosReais&amp;Graficos'!MinASW,IF(CJ102&gt;'DadosReais&amp;Graficos'!MaxASW,'DadosReais&amp;Graficos'!MaxASW,CJ102))</f>
        <v>18.58414841786319</v>
      </c>
      <c r="CE103" s="25">
        <f t="shared" si="199"/>
        <v>0</v>
      </c>
      <c r="CG103" s="27">
        <f t="shared" si="200"/>
        <v>18.58414841786319</v>
      </c>
      <c r="CH103" s="27">
        <f t="shared" si="171"/>
        <v>11.874046859425663</v>
      </c>
      <c r="CI103" s="27">
        <f>MAX(CG103-CH103-'DadosReais&amp;Graficos'!MaxASW,0)</f>
        <v>0</v>
      </c>
      <c r="CJ103" s="27">
        <f t="shared" si="172"/>
        <v>6.710101558437527</v>
      </c>
      <c r="CK103" s="27">
        <f>poolFractn*Month!CI103</f>
        <v>0</v>
      </c>
      <c r="CQ103" s="25">
        <f>SIN(PI()*'DadosReais&amp;Graficos'!Lat/180)</f>
        <v>0.6293203910498374</v>
      </c>
      <c r="CR103" s="25">
        <f>COS(PI()*'DadosReais&amp;Graficos'!Lat/180)</f>
        <v>0.7771459614569709</v>
      </c>
      <c r="CS103" s="25">
        <f t="shared" si="139"/>
        <v>1989</v>
      </c>
      <c r="CT103" s="29">
        <f t="shared" si="175"/>
        <v>32509</v>
      </c>
      <c r="CU103" s="30">
        <f t="shared" si="173"/>
        <v>6</v>
      </c>
      <c r="CV103" s="27">
        <f t="shared" si="201"/>
        <v>166</v>
      </c>
      <c r="CW103" s="25">
        <f t="shared" si="176"/>
        <v>0.3983231954255811</v>
      </c>
      <c r="CX103" s="25">
        <f t="shared" si="140"/>
        <v>-0.3516571006926921</v>
      </c>
      <c r="CY103" s="25">
        <f t="shared" si="177"/>
        <v>0.6143816907595466</v>
      </c>
      <c r="CZ103" s="25">
        <f t="shared" si="178"/>
        <v>53082.57808162483</v>
      </c>
    </row>
    <row r="104" spans="1:104" ht="12.75">
      <c r="A104" s="149">
        <f t="shared" si="202"/>
        <v>32687</v>
      </c>
      <c r="B104" s="60">
        <f t="shared" si="141"/>
        <v>14.25</v>
      </c>
      <c r="C104" s="78">
        <f t="shared" si="142"/>
        <v>14.250000000000037</v>
      </c>
      <c r="D104" s="171">
        <f t="shared" si="160"/>
        <v>200582.2179157579</v>
      </c>
      <c r="E104" s="30">
        <f t="shared" si="179"/>
        <v>1111</v>
      </c>
      <c r="F104" s="27">
        <f t="shared" si="203"/>
        <v>8.85627142674793</v>
      </c>
      <c r="G104" s="27">
        <f t="shared" si="204"/>
        <v>37.46342820440649</v>
      </c>
      <c r="H104" s="27">
        <f t="shared" si="205"/>
        <v>173.83254632725524</v>
      </c>
      <c r="I104" s="27">
        <f t="shared" si="164"/>
        <v>182.68881775400317</v>
      </c>
      <c r="J104" s="27">
        <f t="shared" si="117"/>
        <v>220.15224595840965</v>
      </c>
      <c r="K104" s="27">
        <f t="shared" si="118"/>
        <v>4.000000001160469</v>
      </c>
      <c r="L104" s="27">
        <f t="shared" si="119"/>
        <v>3.5425085717269154</v>
      </c>
      <c r="M104" s="27">
        <f t="shared" si="120"/>
        <v>9.943982513564386</v>
      </c>
      <c r="O104" s="25">
        <f t="shared" si="180"/>
        <v>0.013</v>
      </c>
      <c r="P104" s="25">
        <f t="shared" si="121"/>
        <v>0.1151315285477231</v>
      </c>
      <c r="Q104" s="25">
        <f t="shared" si="122"/>
        <v>0.3746342820440649</v>
      </c>
      <c r="S104" s="27">
        <f t="shared" si="174"/>
        <v>156.46493818834855</v>
      </c>
      <c r="T104" s="27">
        <f t="shared" si="181"/>
        <v>18.806973442328207</v>
      </c>
      <c r="U104" s="27">
        <f t="shared" si="123"/>
        <v>0.15429845645252183</v>
      </c>
      <c r="V104" s="27">
        <f t="shared" si="124"/>
        <v>0.45</v>
      </c>
      <c r="W104" s="27">
        <f t="shared" si="182"/>
        <v>326.68989499499617</v>
      </c>
      <c r="X104" s="27">
        <f t="shared" si="183"/>
        <v>22.92560666631546</v>
      </c>
      <c r="Y104" s="27">
        <f t="shared" si="184"/>
        <v>30.863257541917182</v>
      </c>
      <c r="AA104" s="24">
        <f t="shared" si="185"/>
        <v>0.7642333543316164</v>
      </c>
      <c r="AB104" s="23">
        <f t="shared" si="125"/>
        <v>0.5491112624892542</v>
      </c>
      <c r="AC104" s="23">
        <f>IF('DadosReais&amp;Graficos'!soilClass&gt;0,0.8-0.1*'DadosReais&amp;Graficos'!soilClass,IF('DadosReais&amp;Graficos'!soilClass&lt;0,SWconst0,999))</f>
        <v>0.6000000000000001</v>
      </c>
      <c r="AD104" s="23">
        <f>IF('DadosReais&amp;Graficos'!soilClass&gt;0,11-2*'DadosReais&amp;Graficos'!soilClass,SWpower0)</f>
        <v>7</v>
      </c>
      <c r="AE104" s="24">
        <f>1/(1+((1-CD104/'DadosReais&amp;Graficos'!MaxASW)/AC104)^AD104)</f>
        <v>0.03432691267816597</v>
      </c>
      <c r="AF104" s="24">
        <f t="shared" si="126"/>
        <v>0.6</v>
      </c>
      <c r="AG104" s="27">
        <f t="shared" si="186"/>
        <v>1</v>
      </c>
      <c r="AH104" s="27">
        <f t="shared" si="127"/>
        <v>1</v>
      </c>
      <c r="AI104" s="27">
        <f t="shared" si="128"/>
        <v>0.9919650828290845</v>
      </c>
      <c r="AJ104" s="24">
        <f t="shared" si="129"/>
        <v>0.03405109877806366</v>
      </c>
      <c r="AM104" s="27">
        <f t="shared" si="165"/>
        <v>850.3900241851807</v>
      </c>
      <c r="AN104" s="27">
        <f t="shared" si="130"/>
        <v>1</v>
      </c>
      <c r="AO104" s="27">
        <f t="shared" si="131"/>
        <v>0.8298805235038146</v>
      </c>
      <c r="AP104" s="27">
        <f t="shared" si="132"/>
        <v>705.7221184532193</v>
      </c>
      <c r="AQ104" s="27">
        <f t="shared" si="133"/>
        <v>0.0014312641990810238</v>
      </c>
      <c r="AR104" s="27">
        <f t="shared" si="187"/>
        <v>0.0790057837892725</v>
      </c>
      <c r="AS104" s="27">
        <f t="shared" si="166"/>
        <v>0.5923454212973712</v>
      </c>
      <c r="AT104" s="25">
        <f t="shared" si="167"/>
        <v>0.33026887785098996</v>
      </c>
      <c r="AU104" s="25">
        <f t="shared" si="188"/>
        <v>0.15522637258996527</v>
      </c>
      <c r="AW104" s="25">
        <f t="shared" si="189"/>
        <v>0.6</v>
      </c>
      <c r="AX104" s="25">
        <f t="shared" si="134"/>
        <v>0.0929413909356852</v>
      </c>
      <c r="AY104" s="25">
        <f t="shared" si="190"/>
        <v>0.47724881484938947</v>
      </c>
      <c r="AZ104" s="25">
        <f t="shared" si="135"/>
        <v>0.478297545948987</v>
      </c>
      <c r="BA104" s="25">
        <f t="shared" si="136"/>
        <v>0.044453639201623596</v>
      </c>
      <c r="BB104" s="25">
        <f t="shared" si="191"/>
        <v>0.006900377161691111</v>
      </c>
      <c r="BC104" s="25">
        <f t="shared" si="192"/>
        <v>0.07408160235193068</v>
      </c>
      <c r="BD104" s="25">
        <f t="shared" si="193"/>
        <v>0.07424439307634349</v>
      </c>
      <c r="BG104" s="76">
        <f t="shared" si="206"/>
        <v>32690</v>
      </c>
      <c r="BH104" s="30">
        <f t="shared" si="194"/>
        <v>31</v>
      </c>
      <c r="BI104" s="27">
        <f>'PSP-1 Metdata'!D105</f>
        <v>22.65000057220459</v>
      </c>
      <c r="BJ104" s="28">
        <f>'PSP-1 Metdata'!E105</f>
        <v>29.700000762939453</v>
      </c>
      <c r="BK104" s="28">
        <f>'PSP-1 Metdata'!F105</f>
        <v>15.600000381469727</v>
      </c>
      <c r="BL104" s="28">
        <f>'PSP-1 Metdata'!G105</f>
        <v>0</v>
      </c>
      <c r="BM104" s="28">
        <f>'PSP-1 Metdata'!I105</f>
        <v>27.431936264038086</v>
      </c>
      <c r="BN104" s="28">
        <f>'PSP-1 Metdata'!J105</f>
        <v>0</v>
      </c>
      <c r="BO104" s="28">
        <f>'PSP-1 Metdata'!K105</f>
        <v>0</v>
      </c>
      <c r="BP104" s="25">
        <f>'PSP-1 Metdata'!L105</f>
        <v>41.699969383649496</v>
      </c>
      <c r="BQ104" s="25">
        <f>'PSP-1 Metdata'!M105</f>
        <v>17.72180161999708</v>
      </c>
      <c r="BR104" s="25">
        <f>'PSP-1 Metdata'!N105</f>
        <v>11.989083881826208</v>
      </c>
      <c r="BT104" s="25">
        <f t="shared" si="169"/>
        <v>51987.026278968784</v>
      </c>
      <c r="BU104" s="25">
        <f t="shared" si="195"/>
        <v>332.1351091225713</v>
      </c>
      <c r="BV104" s="25">
        <f t="shared" si="196"/>
        <v>0.2</v>
      </c>
      <c r="BW104" s="25">
        <f t="shared" si="197"/>
        <v>4402.736887022381</v>
      </c>
      <c r="BX104" s="25">
        <f t="shared" si="198"/>
        <v>0.0006810219755612731</v>
      </c>
      <c r="BY104" s="25">
        <f t="shared" si="137"/>
        <v>296.876279440421</v>
      </c>
      <c r="BZ104" s="25">
        <f t="shared" si="138"/>
        <v>17.29149306494946</v>
      </c>
      <c r="CA104" s="27">
        <f t="shared" si="155"/>
        <v>0.36542004242688375</v>
      </c>
      <c r="CB104" s="139">
        <f t="shared" si="170"/>
        <v>11.328021315233396</v>
      </c>
      <c r="CD104" s="27">
        <f>IF(CJ103&lt;'DadosReais&amp;Graficos'!MinASW,'DadosReais&amp;Graficos'!MinASW,IF(CJ103&gt;'DadosReais&amp;Graficos'!MaxASW,'DadosReais&amp;Graficos'!MaxASW,CJ103))</f>
        <v>6.710101558437527</v>
      </c>
      <c r="CE104" s="25">
        <f t="shared" si="199"/>
        <v>0</v>
      </c>
      <c r="CG104" s="27">
        <f t="shared" si="200"/>
        <v>6.710101558437527</v>
      </c>
      <c r="CH104" s="27">
        <f t="shared" si="171"/>
        <v>6.710101558437527</v>
      </c>
      <c r="CI104" s="27">
        <f>MAX(CG104-CH104-'DadosReais&amp;Graficos'!MaxASW,0)</f>
        <v>0</v>
      </c>
      <c r="CJ104" s="27">
        <f t="shared" si="172"/>
        <v>0</v>
      </c>
      <c r="CK104" s="27">
        <f>poolFractn*Month!CI104</f>
        <v>0</v>
      </c>
      <c r="CQ104" s="25">
        <f>SIN(PI()*'DadosReais&amp;Graficos'!Lat/180)</f>
        <v>0.6293203910498374</v>
      </c>
      <c r="CR104" s="25">
        <f>COS(PI()*'DadosReais&amp;Graficos'!Lat/180)</f>
        <v>0.7771459614569709</v>
      </c>
      <c r="CS104" s="25">
        <f t="shared" si="139"/>
        <v>1989</v>
      </c>
      <c r="CT104" s="29">
        <f t="shared" si="175"/>
        <v>32509</v>
      </c>
      <c r="CU104" s="30">
        <f t="shared" si="173"/>
        <v>7</v>
      </c>
      <c r="CV104" s="27">
        <f t="shared" si="201"/>
        <v>197</v>
      </c>
      <c r="CW104" s="25">
        <f t="shared" si="176"/>
        <v>0.3616269729601193</v>
      </c>
      <c r="CX104" s="25">
        <f t="shared" si="140"/>
        <v>-0.3140969275246581</v>
      </c>
      <c r="CY104" s="25">
        <f t="shared" si="177"/>
        <v>0.6017016930436202</v>
      </c>
      <c r="CZ104" s="25">
        <f t="shared" si="178"/>
        <v>51987.026278968784</v>
      </c>
    </row>
    <row r="105" spans="1:104" ht="12.75">
      <c r="A105" s="149">
        <f t="shared" si="202"/>
        <v>32717</v>
      </c>
      <c r="B105" s="60">
        <f t="shared" si="141"/>
        <v>14.33</v>
      </c>
      <c r="C105" s="78">
        <f t="shared" si="142"/>
        <v>14.333333333333371</v>
      </c>
      <c r="D105" s="171">
        <f t="shared" si="160"/>
        <v>201055.57672080115</v>
      </c>
      <c r="E105" s="30">
        <f t="shared" si="179"/>
        <v>1111</v>
      </c>
      <c r="F105" s="27">
        <f t="shared" si="203"/>
        <v>8.748040275361898</v>
      </c>
      <c r="G105" s="27">
        <f t="shared" si="204"/>
        <v>37.16287552471436</v>
      </c>
      <c r="H105" s="27">
        <f t="shared" si="205"/>
        <v>173.9067907203316</v>
      </c>
      <c r="I105" s="27">
        <f t="shared" si="164"/>
        <v>182.6548309956935</v>
      </c>
      <c r="J105" s="27">
        <f t="shared" si="117"/>
        <v>219.81770652040785</v>
      </c>
      <c r="K105" s="27">
        <f t="shared" si="118"/>
        <v>4.0000000008910614</v>
      </c>
      <c r="L105" s="27">
        <f t="shared" si="119"/>
        <v>3.4992161109242637</v>
      </c>
      <c r="M105" s="27">
        <f t="shared" si="120"/>
        <v>10.059114042112109</v>
      </c>
      <c r="O105" s="25">
        <f t="shared" si="180"/>
        <v>0.013</v>
      </c>
      <c r="P105" s="25">
        <f t="shared" si="121"/>
        <v>0.11372452357970467</v>
      </c>
      <c r="Q105" s="25">
        <f t="shared" si="122"/>
        <v>0.3716287552471436</v>
      </c>
      <c r="S105" s="27">
        <f t="shared" si="174"/>
        <v>156.53176482478094</v>
      </c>
      <c r="T105" s="27">
        <f t="shared" si="181"/>
        <v>18.809941232057724</v>
      </c>
      <c r="U105" s="27">
        <f t="shared" si="123"/>
        <v>0.15417608774128277</v>
      </c>
      <c r="V105" s="27">
        <f t="shared" si="124"/>
        <v>0.45</v>
      </c>
      <c r="W105" s="27">
        <f t="shared" si="182"/>
        <v>326.87671576761966</v>
      </c>
      <c r="X105" s="27">
        <f t="shared" si="183"/>
        <v>22.805352262857124</v>
      </c>
      <c r="Y105" s="27">
        <f t="shared" si="184"/>
        <v>30.8729989164186</v>
      </c>
      <c r="AA105" s="24">
        <f t="shared" si="185"/>
        <v>0.8272079450018678</v>
      </c>
      <c r="AB105" s="23">
        <f t="shared" si="125"/>
        <v>0.6480577071983725</v>
      </c>
      <c r="AC105" s="23">
        <f>IF('DadosReais&amp;Graficos'!soilClass&gt;0,0.8-0.1*'DadosReais&amp;Graficos'!soilClass,IF('DadosReais&amp;Graficos'!soilClass&lt;0,SWconst0,999))</f>
        <v>0.6000000000000001</v>
      </c>
      <c r="AD105" s="23">
        <f>IF('DadosReais&amp;Graficos'!soilClass&gt;0,11-2*'DadosReais&amp;Graficos'!soilClass,SWpower0)</f>
        <v>7</v>
      </c>
      <c r="AE105" s="24">
        <f>1/(1+((1-CD105/'DadosReais&amp;Graficos'!MaxASW)/AC105)^AD105)</f>
        <v>0.027231297938041656</v>
      </c>
      <c r="AF105" s="24">
        <f t="shared" si="126"/>
        <v>0.6</v>
      </c>
      <c r="AG105" s="27">
        <f t="shared" si="186"/>
        <v>1</v>
      </c>
      <c r="AH105" s="27">
        <f t="shared" si="127"/>
        <v>1</v>
      </c>
      <c r="AI105" s="27">
        <f t="shared" si="128"/>
        <v>0.9917770355445253</v>
      </c>
      <c r="AJ105" s="24">
        <f t="shared" si="129"/>
        <v>0.0270073759430207</v>
      </c>
      <c r="AM105" s="27">
        <f t="shared" si="165"/>
        <v>681.7899780273438</v>
      </c>
      <c r="AN105" s="27">
        <f t="shared" si="130"/>
        <v>1</v>
      </c>
      <c r="AO105" s="27">
        <f t="shared" si="131"/>
        <v>0.8261579334522298</v>
      </c>
      <c r="AP105" s="27">
        <f t="shared" si="132"/>
        <v>563.2661992955115</v>
      </c>
      <c r="AQ105" s="27">
        <f t="shared" si="133"/>
        <v>0.001228739377454547</v>
      </c>
      <c r="AR105" s="27">
        <f t="shared" si="187"/>
        <v>0.06782641363549098</v>
      </c>
      <c r="AS105" s="27">
        <f t="shared" si="166"/>
        <v>0.29676255079110847</v>
      </c>
      <c r="AT105" s="25">
        <f t="shared" si="167"/>
        <v>0.11337613300394307</v>
      </c>
      <c r="AU105" s="25">
        <f t="shared" si="188"/>
        <v>0.05328678251185324</v>
      </c>
      <c r="AW105" s="25">
        <f t="shared" si="189"/>
        <v>0.6</v>
      </c>
      <c r="AX105" s="25">
        <f t="shared" si="134"/>
        <v>0.09293372311068514</v>
      </c>
      <c r="AY105" s="25">
        <f t="shared" si="190"/>
        <v>0.48178360469090087</v>
      </c>
      <c r="AZ105" s="25">
        <f t="shared" si="135"/>
        <v>0.474151711445194</v>
      </c>
      <c r="BA105" s="25">
        <f t="shared" si="136"/>
        <v>0.04406468386390511</v>
      </c>
      <c r="BB105" s="25">
        <f t="shared" si="191"/>
        <v>0.0023480652255094803</v>
      </c>
      <c r="BC105" s="25">
        <f t="shared" si="192"/>
        <v>0.02567269816094071</v>
      </c>
      <c r="BD105" s="25">
        <f t="shared" si="193"/>
        <v>0.025266019125403046</v>
      </c>
      <c r="BG105" s="76">
        <f t="shared" si="206"/>
        <v>32721</v>
      </c>
      <c r="BH105" s="30">
        <f t="shared" si="194"/>
        <v>31</v>
      </c>
      <c r="BI105" s="27">
        <f>'PSP-1 Metdata'!D106</f>
        <v>21.550000190734863</v>
      </c>
      <c r="BJ105" s="28">
        <f>'PSP-1 Metdata'!E106</f>
        <v>27</v>
      </c>
      <c r="BK105" s="28">
        <f>'PSP-1 Metdata'!F106</f>
        <v>16.100000381469727</v>
      </c>
      <c r="BL105" s="28">
        <f>'PSP-1 Metdata'!G106</f>
        <v>1.9200000762939453</v>
      </c>
      <c r="BM105" s="28">
        <f>'PSP-1 Metdata'!I106</f>
        <v>21.99322509765625</v>
      </c>
      <c r="BN105" s="28">
        <f>'PSP-1 Metdata'!J106</f>
        <v>0</v>
      </c>
      <c r="BO105" s="28">
        <f>'PSP-1 Metdata'!K106</f>
        <v>0</v>
      </c>
      <c r="BP105" s="25">
        <f>'PSP-1 Metdata'!L106</f>
        <v>35.648592398728994</v>
      </c>
      <c r="BQ105" s="25">
        <f>'PSP-1 Metdata'!M106</f>
        <v>18.29757110766953</v>
      </c>
      <c r="BR105" s="25">
        <f>'PSP-1 Metdata'!N106</f>
        <v>8.675510645529732</v>
      </c>
      <c r="BT105" s="25">
        <f t="shared" si="169"/>
        <v>48361.75661678577</v>
      </c>
      <c r="BU105" s="25">
        <f t="shared" si="195"/>
        <v>273.8118486378168</v>
      </c>
      <c r="BV105" s="25">
        <f t="shared" si="196"/>
        <v>0.2</v>
      </c>
      <c r="BW105" s="25">
        <f t="shared" si="197"/>
        <v>3185.897363745109</v>
      </c>
      <c r="BX105" s="25">
        <f t="shared" si="198"/>
        <v>0.000540147518860414</v>
      </c>
      <c r="BY105" s="25">
        <f t="shared" si="137"/>
        <v>373.46921908658146</v>
      </c>
      <c r="BZ105" s="25">
        <f t="shared" si="138"/>
        <v>10.143495734437133</v>
      </c>
      <c r="CA105" s="27">
        <f t="shared" si="155"/>
        <v>0.19941352518384278</v>
      </c>
      <c r="CB105" s="139">
        <f t="shared" si="170"/>
        <v>6.181819280699126</v>
      </c>
      <c r="CD105" s="27">
        <f>IF(CJ104&lt;'DadosReais&amp;Graficos'!MinASW,'DadosReais&amp;Graficos'!MinASW,IF(CJ104&gt;'DadosReais&amp;Graficos'!MaxASW,'DadosReais&amp;Graficos'!MaxASW,CJ104))</f>
        <v>0</v>
      </c>
      <c r="CE105" s="25">
        <f t="shared" si="199"/>
        <v>0.28800001144409176</v>
      </c>
      <c r="CG105" s="27">
        <f t="shared" si="200"/>
        <v>1.9200000762939453</v>
      </c>
      <c r="CH105" s="27">
        <f t="shared" si="171"/>
        <v>1.9200000762939453</v>
      </c>
      <c r="CI105" s="27">
        <f>MAX(CG105-CH105-'DadosReais&amp;Graficos'!MaxASW,0)</f>
        <v>0</v>
      </c>
      <c r="CJ105" s="27">
        <f t="shared" si="172"/>
        <v>0</v>
      </c>
      <c r="CK105" s="27">
        <f>poolFractn*Month!CI105</f>
        <v>0</v>
      </c>
      <c r="CQ105" s="25">
        <f>SIN(PI()*'DadosReais&amp;Graficos'!Lat/180)</f>
        <v>0.6293203910498374</v>
      </c>
      <c r="CR105" s="25">
        <f>COS(PI()*'DadosReais&amp;Graficos'!Lat/180)</f>
        <v>0.7771459614569709</v>
      </c>
      <c r="CS105" s="25">
        <f t="shared" si="139"/>
        <v>1989</v>
      </c>
      <c r="CT105" s="29">
        <f t="shared" si="175"/>
        <v>32509</v>
      </c>
      <c r="CU105" s="30">
        <f t="shared" si="173"/>
        <v>8</v>
      </c>
      <c r="CV105" s="27">
        <f t="shared" si="201"/>
        <v>228</v>
      </c>
      <c r="CW105" s="25">
        <f t="shared" si="176"/>
        <v>0.2245322171168967</v>
      </c>
      <c r="CX105" s="25">
        <f t="shared" si="140"/>
        <v>-0.18658678708195917</v>
      </c>
      <c r="CY105" s="25">
        <f t="shared" si="177"/>
        <v>0.5597425534350206</v>
      </c>
      <c r="CZ105" s="25">
        <f t="shared" si="178"/>
        <v>48361.75661678577</v>
      </c>
    </row>
    <row r="106" spans="1:104" ht="12.75">
      <c r="A106" s="149">
        <f t="shared" si="202"/>
        <v>32748</v>
      </c>
      <c r="B106" s="60">
        <f t="shared" si="141"/>
        <v>14.42</v>
      </c>
      <c r="C106" s="78">
        <f t="shared" si="142"/>
        <v>14.416666666666705</v>
      </c>
      <c r="D106" s="171">
        <f t="shared" si="160"/>
        <v>201669.65720388014</v>
      </c>
      <c r="E106" s="30">
        <f t="shared" si="179"/>
        <v>1111</v>
      </c>
      <c r="F106" s="27">
        <f t="shared" si="203"/>
        <v>8.636663817007703</v>
      </c>
      <c r="G106" s="27">
        <f t="shared" si="204"/>
        <v>36.81691946762815</v>
      </c>
      <c r="H106" s="27">
        <f t="shared" si="205"/>
        <v>173.932056739457</v>
      </c>
      <c r="I106" s="27">
        <f t="shared" si="164"/>
        <v>182.5687205564647</v>
      </c>
      <c r="J106" s="27">
        <f t="shared" si="117"/>
        <v>219.38564002409288</v>
      </c>
      <c r="K106" s="27">
        <f t="shared" si="118"/>
        <v>4.000000000683145</v>
      </c>
      <c r="L106" s="27">
        <f t="shared" si="119"/>
        <v>3.454665527393091</v>
      </c>
      <c r="M106" s="27">
        <f t="shared" si="120"/>
        <v>10.172838565691814</v>
      </c>
      <c r="O106" s="25">
        <f t="shared" si="180"/>
        <v>0.013</v>
      </c>
      <c r="P106" s="25">
        <f t="shared" si="121"/>
        <v>0.11227662962110013</v>
      </c>
      <c r="Q106" s="25">
        <f t="shared" si="122"/>
        <v>0.36816919467628156</v>
      </c>
      <c r="S106" s="27">
        <f t="shared" si="174"/>
        <v>156.55450651616292</v>
      </c>
      <c r="T106" s="27">
        <f t="shared" si="181"/>
        <v>18.81095101478931</v>
      </c>
      <c r="U106" s="27">
        <f t="shared" si="123"/>
        <v>0.15405720262971623</v>
      </c>
      <c r="V106" s="27">
        <f t="shared" si="124"/>
        <v>0.45</v>
      </c>
      <c r="W106" s="27">
        <f t="shared" si="182"/>
        <v>326.97015695676265</v>
      </c>
      <c r="X106" s="27">
        <f t="shared" si="183"/>
        <v>22.680010887174227</v>
      </c>
      <c r="Y106" s="27">
        <f t="shared" si="184"/>
        <v>30.87631374420939</v>
      </c>
      <c r="AA106" s="24">
        <f t="shared" si="185"/>
        <v>0.9487265209729071</v>
      </c>
      <c r="AB106" s="23">
        <f t="shared" si="125"/>
        <v>0.6086497679587553</v>
      </c>
      <c r="AC106" s="23">
        <f>IF('DadosReais&amp;Graficos'!soilClass&gt;0,0.8-0.1*'DadosReais&amp;Graficos'!soilClass,IF('DadosReais&amp;Graficos'!soilClass&lt;0,SWconst0,999))</f>
        <v>0.6000000000000001</v>
      </c>
      <c r="AD106" s="23">
        <f>IF('DadosReais&amp;Graficos'!soilClass&gt;0,11-2*'DadosReais&amp;Graficos'!soilClass,SWpower0)</f>
        <v>7</v>
      </c>
      <c r="AE106" s="24">
        <f>1/(1+((1-CD106/'DadosReais&amp;Graficos'!MaxASW)/AC106)^AD106)</f>
        <v>0.027231297938041656</v>
      </c>
      <c r="AF106" s="24">
        <f t="shared" si="126"/>
        <v>0.6</v>
      </c>
      <c r="AG106" s="27">
        <f t="shared" si="186"/>
        <v>1</v>
      </c>
      <c r="AH106" s="27">
        <f t="shared" si="127"/>
        <v>1</v>
      </c>
      <c r="AI106" s="27">
        <f t="shared" si="128"/>
        <v>0.9915857527791239</v>
      </c>
      <c r="AJ106" s="24">
        <f t="shared" si="129"/>
        <v>0.02700216706504564</v>
      </c>
      <c r="AM106" s="27">
        <f t="shared" si="165"/>
        <v>592.1099853515625</v>
      </c>
      <c r="AN106" s="27">
        <f t="shared" si="130"/>
        <v>1</v>
      </c>
      <c r="AO106" s="27">
        <f t="shared" si="131"/>
        <v>0.8222420994408763</v>
      </c>
      <c r="AP106" s="27">
        <f t="shared" si="132"/>
        <v>486.8577574553753</v>
      </c>
      <c r="AQ106" s="27">
        <f t="shared" si="133"/>
        <v>0.001408971961009248</v>
      </c>
      <c r="AR106" s="27">
        <f t="shared" si="187"/>
        <v>0.07777525224771048</v>
      </c>
      <c r="AS106" s="27">
        <f t="shared" si="166"/>
        <v>0.81960547136418</v>
      </c>
      <c r="AT106" s="25">
        <f t="shared" si="167"/>
        <v>0.3103475859567387</v>
      </c>
      <c r="AU106" s="25">
        <f t="shared" si="188"/>
        <v>0.14586336539966718</v>
      </c>
      <c r="AW106" s="25">
        <f t="shared" si="189"/>
        <v>0.6</v>
      </c>
      <c r="AX106" s="25">
        <f t="shared" si="134"/>
        <v>0.09293111457325219</v>
      </c>
      <c r="AY106" s="25">
        <f t="shared" si="190"/>
        <v>0.48178699008552334</v>
      </c>
      <c r="AZ106" s="25">
        <f t="shared" si="135"/>
        <v>0.4741497455828394</v>
      </c>
      <c r="BA106" s="25">
        <f t="shared" si="136"/>
        <v>0.04406326433163721</v>
      </c>
      <c r="BB106" s="25">
        <f t="shared" si="191"/>
        <v>0.00642721602590772</v>
      </c>
      <c r="BC106" s="25">
        <f t="shared" si="192"/>
        <v>0.07027507177965052</v>
      </c>
      <c r="BD106" s="25">
        <f t="shared" si="193"/>
        <v>0.06916107759410893</v>
      </c>
      <c r="BG106" s="76">
        <f t="shared" si="206"/>
        <v>32752</v>
      </c>
      <c r="BH106" s="30">
        <f t="shared" si="194"/>
        <v>30</v>
      </c>
      <c r="BI106" s="27">
        <f>'PSP-1 Metdata'!D107</f>
        <v>18.84999990463257</v>
      </c>
      <c r="BJ106" s="28">
        <f>'PSP-1 Metdata'!E107</f>
        <v>26</v>
      </c>
      <c r="BK106" s="28">
        <f>'PSP-1 Metdata'!F107</f>
        <v>11.699999809265137</v>
      </c>
      <c r="BL106" s="28">
        <f>'PSP-1 Metdata'!G107</f>
        <v>5.679999923706055</v>
      </c>
      <c r="BM106" s="28">
        <f>'PSP-1 Metdata'!I107</f>
        <v>19.73699951171875</v>
      </c>
      <c r="BN106" s="28">
        <f>'PSP-1 Metdata'!J107</f>
        <v>2</v>
      </c>
      <c r="BO106" s="28">
        <f>'PSP-1 Metdata'!K107</f>
        <v>0</v>
      </c>
      <c r="BP106" s="25">
        <f>'PSP-1 Metdata'!L107</f>
        <v>33.6099785805441</v>
      </c>
      <c r="BQ106" s="25">
        <f>'PSP-1 Metdata'!M107</f>
        <v>13.749487765911553</v>
      </c>
      <c r="BR106" s="25">
        <f>'PSP-1 Metdata'!N107</f>
        <v>9.930245407316274</v>
      </c>
      <c r="BT106" s="25">
        <f t="shared" si="169"/>
        <v>43912.27946472623</v>
      </c>
      <c r="BU106" s="25">
        <f t="shared" si="195"/>
        <v>269.57139556051607</v>
      </c>
      <c r="BV106" s="25">
        <f t="shared" si="196"/>
        <v>0.2</v>
      </c>
      <c r="BW106" s="25">
        <f t="shared" si="197"/>
        <v>3646.672104634267</v>
      </c>
      <c r="BX106" s="25">
        <f t="shared" si="198"/>
        <v>0.0005400433413009128</v>
      </c>
      <c r="BY106" s="25">
        <f t="shared" si="137"/>
        <v>373.54064621224495</v>
      </c>
      <c r="BZ106" s="25">
        <f t="shared" si="138"/>
        <v>11.350114687273946</v>
      </c>
      <c r="CA106" s="27">
        <f t="shared" si="155"/>
        <v>0.2026054504488891</v>
      </c>
      <c r="CB106" s="139">
        <f t="shared" si="170"/>
        <v>6.078163513466674</v>
      </c>
      <c r="CD106" s="27">
        <f>IF(CJ105&lt;'DadosReais&amp;Graficos'!MinASW,'DadosReais&amp;Graficos'!MinASW,IF(CJ105&gt;'DadosReais&amp;Graficos'!MaxASW,'DadosReais&amp;Graficos'!MaxASW,CJ105))</f>
        <v>0</v>
      </c>
      <c r="CE106" s="25">
        <f t="shared" si="199"/>
        <v>0.8519999885559083</v>
      </c>
      <c r="CG106" s="27">
        <f t="shared" si="200"/>
        <v>5.679999923706055</v>
      </c>
      <c r="CH106" s="27">
        <f t="shared" si="171"/>
        <v>5.679999923706055</v>
      </c>
      <c r="CI106" s="27">
        <f>MAX(CG106-CH106-'DadosReais&amp;Graficos'!MaxASW,0)</f>
        <v>0</v>
      </c>
      <c r="CJ106" s="27">
        <f t="shared" si="172"/>
        <v>0</v>
      </c>
      <c r="CK106" s="27">
        <f>poolFractn*Month!CI106</f>
        <v>0</v>
      </c>
      <c r="CQ106" s="25">
        <f>SIN(PI()*'DadosReais&amp;Graficos'!Lat/180)</f>
        <v>0.6293203910498374</v>
      </c>
      <c r="CR106" s="25">
        <f>COS(PI()*'DadosReais&amp;Graficos'!Lat/180)</f>
        <v>0.7771459614569709</v>
      </c>
      <c r="CS106" s="25">
        <f t="shared" si="139"/>
        <v>1989</v>
      </c>
      <c r="CT106" s="29">
        <f t="shared" si="175"/>
        <v>32509</v>
      </c>
      <c r="CU106" s="30">
        <f t="shared" si="173"/>
        <v>9</v>
      </c>
      <c r="CV106" s="27">
        <f t="shared" si="201"/>
        <v>258</v>
      </c>
      <c r="CW106" s="25">
        <f t="shared" si="176"/>
        <v>0.031962948421114835</v>
      </c>
      <c r="CX106" s="25">
        <f t="shared" si="140"/>
        <v>-0.025896316893613495</v>
      </c>
      <c r="CY106" s="25">
        <f t="shared" si="177"/>
        <v>0.5082439752861831</v>
      </c>
      <c r="CZ106" s="25">
        <f t="shared" si="178"/>
        <v>43912.27946472623</v>
      </c>
    </row>
    <row r="107" spans="1:104" ht="12.75">
      <c r="A107" s="149">
        <f t="shared" si="202"/>
        <v>32779</v>
      </c>
      <c r="B107" s="60">
        <f t="shared" si="141"/>
        <v>14.5</v>
      </c>
      <c r="C107" s="78">
        <f t="shared" si="142"/>
        <v>14.500000000000039</v>
      </c>
      <c r="D107" s="171">
        <f t="shared" si="160"/>
        <v>202147.31009796006</v>
      </c>
      <c r="E107" s="30">
        <f t="shared" si="179"/>
        <v>1111</v>
      </c>
      <c r="F107" s="27">
        <f t="shared" si="203"/>
        <v>8.53081440341251</v>
      </c>
      <c r="G107" s="27">
        <f t="shared" si="204"/>
        <v>36.51902534473152</v>
      </c>
      <c r="H107" s="27">
        <f t="shared" si="205"/>
        <v>174.00121781705113</v>
      </c>
      <c r="I107" s="27">
        <f t="shared" si="164"/>
        <v>182.53203222046363</v>
      </c>
      <c r="J107" s="27">
        <f t="shared" si="117"/>
        <v>219.05105756519515</v>
      </c>
      <c r="K107" s="27">
        <f t="shared" si="118"/>
        <v>4.000000000522936</v>
      </c>
      <c r="L107" s="27">
        <f t="shared" si="119"/>
        <v>3.412325761811111</v>
      </c>
      <c r="M107" s="27">
        <f t="shared" si="120"/>
        <v>10.285115195312914</v>
      </c>
      <c r="O107" s="25">
        <f t="shared" si="180"/>
        <v>0.013</v>
      </c>
      <c r="P107" s="25">
        <f t="shared" si="121"/>
        <v>0.11090058724436262</v>
      </c>
      <c r="Q107" s="25">
        <f t="shared" si="122"/>
        <v>0.3651902534473152</v>
      </c>
      <c r="S107" s="27">
        <f t="shared" si="174"/>
        <v>156.61675771111715</v>
      </c>
      <c r="T107" s="27">
        <f t="shared" si="181"/>
        <v>18.81371463621788</v>
      </c>
      <c r="U107" s="27">
        <f t="shared" si="123"/>
        <v>0.15394170194650172</v>
      </c>
      <c r="V107" s="27">
        <f t="shared" si="124"/>
        <v>0.45</v>
      </c>
      <c r="W107" s="27">
        <f t="shared" si="182"/>
        <v>327.1448315678452</v>
      </c>
      <c r="X107" s="27">
        <f t="shared" si="183"/>
        <v>22.561712521920295</v>
      </c>
      <c r="Y107" s="27">
        <f t="shared" si="184"/>
        <v>30.88538683258399</v>
      </c>
      <c r="AA107" s="24">
        <f t="shared" si="185"/>
        <v>0.9658317770958259</v>
      </c>
      <c r="AB107" s="23">
        <f t="shared" si="125"/>
        <v>0.6373915398608148</v>
      </c>
      <c r="AC107" s="23">
        <f>IF('DadosReais&amp;Graficos'!soilClass&gt;0,0.8-0.1*'DadosReais&amp;Graficos'!soilClass,IF('DadosReais&amp;Graficos'!soilClass&lt;0,SWconst0,999))</f>
        <v>0.6000000000000001</v>
      </c>
      <c r="AD107" s="23">
        <f>IF('DadosReais&amp;Graficos'!soilClass&gt;0,11-2*'DadosReais&amp;Graficos'!soilClass,SWpower0)</f>
        <v>7</v>
      </c>
      <c r="AE107" s="24">
        <f>1/(1+((1-CD107/'DadosReais&amp;Graficos'!MaxASW)/AC107)^AD107)</f>
        <v>0.027231297938041656</v>
      </c>
      <c r="AF107" s="24">
        <f t="shared" si="126"/>
        <v>0.6</v>
      </c>
      <c r="AG107" s="27">
        <f t="shared" si="186"/>
        <v>1</v>
      </c>
      <c r="AH107" s="27">
        <f t="shared" si="127"/>
        <v>1</v>
      </c>
      <c r="AI107" s="27">
        <f t="shared" si="128"/>
        <v>0.9913911997708411</v>
      </c>
      <c r="AJ107" s="24">
        <f t="shared" si="129"/>
        <v>0.02699686913411235</v>
      </c>
      <c r="AM107" s="27">
        <f t="shared" si="165"/>
        <v>420.48001289367676</v>
      </c>
      <c r="AN107" s="27">
        <f t="shared" si="130"/>
        <v>1</v>
      </c>
      <c r="AO107" s="27">
        <f t="shared" si="131"/>
        <v>0.8184388706046286</v>
      </c>
      <c r="AP107" s="27">
        <f t="shared" si="132"/>
        <v>344.13718686452046</v>
      </c>
      <c r="AQ107" s="27">
        <f t="shared" si="133"/>
        <v>0.0014340938750502749</v>
      </c>
      <c r="AR107" s="27">
        <f t="shared" si="187"/>
        <v>0.07916198190277517</v>
      </c>
      <c r="AS107" s="27">
        <f t="shared" si="166"/>
        <v>1</v>
      </c>
      <c r="AT107" s="25">
        <f t="shared" si="167"/>
        <v>0.2724258175864112</v>
      </c>
      <c r="AU107" s="25">
        <f t="shared" si="188"/>
        <v>0.12804013426561325</v>
      </c>
      <c r="AW107" s="25">
        <f t="shared" si="189"/>
        <v>0.6</v>
      </c>
      <c r="AX107" s="25">
        <f t="shared" si="134"/>
        <v>0.09292397649420249</v>
      </c>
      <c r="AY107" s="25">
        <f t="shared" si="190"/>
        <v>0.48179043340694366</v>
      </c>
      <c r="AZ107" s="25">
        <f t="shared" si="135"/>
        <v>0.4741496917794129</v>
      </c>
      <c r="BA107" s="25">
        <f t="shared" si="136"/>
        <v>0.044059874813643485</v>
      </c>
      <c r="BB107" s="25">
        <f t="shared" si="191"/>
        <v>0.005641432286865023</v>
      </c>
      <c r="BC107" s="25">
        <f t="shared" si="192"/>
        <v>0.061688511781313064</v>
      </c>
      <c r="BD107" s="25">
        <f t="shared" si="193"/>
        <v>0.06071019019743517</v>
      </c>
      <c r="BG107" s="76">
        <f t="shared" si="206"/>
        <v>32782</v>
      </c>
      <c r="BH107" s="30">
        <f t="shared" si="194"/>
        <v>31</v>
      </c>
      <c r="BI107" s="27">
        <f>'PSP-1 Metdata'!D108</f>
        <v>18.300000190734863</v>
      </c>
      <c r="BJ107" s="28">
        <f>'PSP-1 Metdata'!E108</f>
        <v>25</v>
      </c>
      <c r="BK107" s="28">
        <f>'PSP-1 Metdata'!F108</f>
        <v>11.600000381469727</v>
      </c>
      <c r="BL107" s="28">
        <f>'PSP-1 Metdata'!G108</f>
        <v>102.32000122070313</v>
      </c>
      <c r="BM107" s="28">
        <f>'PSP-1 Metdata'!I108</f>
        <v>13.563871383666992</v>
      </c>
      <c r="BN107" s="28">
        <f>'PSP-1 Metdata'!J108</f>
        <v>7</v>
      </c>
      <c r="BO107" s="28">
        <f>'PSP-1 Metdata'!K108</f>
        <v>0</v>
      </c>
      <c r="BP107" s="25">
        <f>'PSP-1 Metdata'!L108</f>
        <v>31.673720930966624</v>
      </c>
      <c r="BQ107" s="25">
        <f>'PSP-1 Metdata'!M108</f>
        <v>13.658874931943691</v>
      </c>
      <c r="BR107" s="25">
        <f>'PSP-1 Metdata'!N108</f>
        <v>9.007422999511466</v>
      </c>
      <c r="BT107" s="25">
        <f t="shared" si="169"/>
        <v>39224.4387806368</v>
      </c>
      <c r="BU107" s="25">
        <f t="shared" si="195"/>
        <v>186.64123297259903</v>
      </c>
      <c r="BV107" s="25">
        <f t="shared" si="196"/>
        <v>0.2</v>
      </c>
      <c r="BW107" s="25">
        <f t="shared" si="197"/>
        <v>3307.785139202997</v>
      </c>
      <c r="BX107" s="25">
        <f t="shared" si="198"/>
        <v>0.000539937382682247</v>
      </c>
      <c r="BY107" s="25">
        <f t="shared" si="137"/>
        <v>373.6133227569093</v>
      </c>
      <c r="BZ107" s="25">
        <f t="shared" si="138"/>
        <v>9.952524776965946</v>
      </c>
      <c r="CA107" s="27">
        <f t="shared" si="155"/>
        <v>0.1586919507426308</v>
      </c>
      <c r="CB107" s="139">
        <f t="shared" si="170"/>
        <v>4.919450473021555</v>
      </c>
      <c r="CD107" s="27">
        <f>IF(CJ106&lt;'DadosReais&amp;Graficos'!MinASW,'DadosReais&amp;Graficos'!MinASW,IF(CJ106&gt;'DadosReais&amp;Graficos'!MaxASW,'DadosReais&amp;Graficos'!MaxASW,CJ106))</f>
        <v>0</v>
      </c>
      <c r="CE107" s="25">
        <f t="shared" si="199"/>
        <v>15.34800018310547</v>
      </c>
      <c r="CG107" s="27">
        <f t="shared" si="200"/>
        <v>102.32000122070313</v>
      </c>
      <c r="CH107" s="27">
        <f t="shared" si="171"/>
        <v>20.267450656127025</v>
      </c>
      <c r="CI107" s="27">
        <f>MAX(CG107-CH107-'DadosReais&amp;Graficos'!MaxASW,0)</f>
        <v>0</v>
      </c>
      <c r="CJ107" s="27">
        <f t="shared" si="172"/>
        <v>82.05255056457611</v>
      </c>
      <c r="CK107" s="27">
        <f>poolFractn*Month!CI107</f>
        <v>0</v>
      </c>
      <c r="CQ107" s="25">
        <f>SIN(PI()*'DadosReais&amp;Graficos'!Lat/180)</f>
        <v>0.6293203910498374</v>
      </c>
      <c r="CR107" s="25">
        <f>COS(PI()*'DadosReais&amp;Graficos'!Lat/180)</f>
        <v>0.7771459614569709</v>
      </c>
      <c r="CS107" s="25">
        <f t="shared" si="139"/>
        <v>1989</v>
      </c>
      <c r="CT107" s="29">
        <f t="shared" si="175"/>
        <v>32509</v>
      </c>
      <c r="CU107" s="30">
        <f t="shared" si="173"/>
        <v>10</v>
      </c>
      <c r="CV107" s="27">
        <f t="shared" si="201"/>
        <v>289</v>
      </c>
      <c r="CW107" s="25">
        <f t="shared" si="176"/>
        <v>-0.1751405350728837</v>
      </c>
      <c r="CX107" s="25">
        <f t="shared" si="140"/>
        <v>0.14405256542254885</v>
      </c>
      <c r="CY107" s="25">
        <f t="shared" si="177"/>
        <v>0.4539865599610741</v>
      </c>
      <c r="CZ107" s="25">
        <f t="shared" si="178"/>
        <v>39224.4387806368</v>
      </c>
    </row>
    <row r="108" spans="1:104" ht="12.75">
      <c r="A108" s="149">
        <f t="shared" si="202"/>
        <v>32809</v>
      </c>
      <c r="B108" s="60">
        <f t="shared" si="141"/>
        <v>14.58</v>
      </c>
      <c r="C108" s="78">
        <f t="shared" si="142"/>
        <v>14.583333333333373</v>
      </c>
      <c r="D108" s="171">
        <f t="shared" si="160"/>
        <v>202646.16863604385</v>
      </c>
      <c r="E108" s="30">
        <f t="shared" si="179"/>
        <v>1111</v>
      </c>
      <c r="F108" s="27">
        <f t="shared" si="203"/>
        <v>8.425555248455012</v>
      </c>
      <c r="G108" s="27">
        <f t="shared" si="204"/>
        <v>36.21552360306551</v>
      </c>
      <c r="H108" s="27">
        <f t="shared" si="205"/>
        <v>174.06192800724855</v>
      </c>
      <c r="I108" s="27">
        <f t="shared" si="164"/>
        <v>182.48748325570358</v>
      </c>
      <c r="J108" s="27">
        <f t="shared" si="117"/>
        <v>218.70300685876907</v>
      </c>
      <c r="K108" s="27">
        <f t="shared" si="118"/>
        <v>4.000000000399684</v>
      </c>
      <c r="L108" s="27">
        <f t="shared" si="119"/>
        <v>3.370222099718761</v>
      </c>
      <c r="M108" s="27">
        <f t="shared" si="120"/>
        <v>10.396015782557276</v>
      </c>
      <c r="O108" s="25">
        <f t="shared" si="180"/>
        <v>0.013</v>
      </c>
      <c r="P108" s="25">
        <f t="shared" si="121"/>
        <v>0.10953221822991516</v>
      </c>
      <c r="Q108" s="25">
        <f t="shared" si="122"/>
        <v>0.36215523603065514</v>
      </c>
      <c r="S108" s="27">
        <f t="shared" si="174"/>
        <v>156.67140234675838</v>
      </c>
      <c r="T108" s="27">
        <f t="shared" si="181"/>
        <v>18.81613999619761</v>
      </c>
      <c r="U108" s="27">
        <f t="shared" si="123"/>
        <v>0.15382948934353377</v>
      </c>
      <c r="V108" s="27">
        <f t="shared" si="124"/>
        <v>0.45</v>
      </c>
      <c r="W108" s="27">
        <f t="shared" si="182"/>
        <v>327.3023789060946</v>
      </c>
      <c r="X108" s="27">
        <f t="shared" si="183"/>
        <v>22.443591696417855</v>
      </c>
      <c r="Y108" s="27">
        <f t="shared" si="184"/>
        <v>30.893350492180698</v>
      </c>
      <c r="AA108" s="24">
        <f t="shared" si="185"/>
        <v>0.9644833590769576</v>
      </c>
      <c r="AB108" s="23">
        <f t="shared" si="125"/>
        <v>0.8107216845337288</v>
      </c>
      <c r="AC108" s="23">
        <f>IF('DadosReais&amp;Graficos'!soilClass&gt;0,0.8-0.1*'DadosReais&amp;Graficos'!soilClass,IF('DadosReais&amp;Graficos'!soilClass&lt;0,SWconst0,999))</f>
        <v>0.6000000000000001</v>
      </c>
      <c r="AD108" s="23">
        <f>IF('DadosReais&amp;Graficos'!soilClass&gt;0,11-2*'DadosReais&amp;Graficos'!soilClass,SWpower0)</f>
        <v>7</v>
      </c>
      <c r="AE108" s="24">
        <f>1/(1+((1-CD108/'DadosReais&amp;Graficos'!MaxASW)/AC108)^AD108)</f>
        <v>0.5301553401110529</v>
      </c>
      <c r="AF108" s="24">
        <f t="shared" si="126"/>
        <v>0.6</v>
      </c>
      <c r="AG108" s="27">
        <f t="shared" si="186"/>
        <v>1</v>
      </c>
      <c r="AH108" s="27">
        <f t="shared" si="127"/>
        <v>1</v>
      </c>
      <c r="AI108" s="27">
        <f t="shared" si="128"/>
        <v>0.9911933416574801</v>
      </c>
      <c r="AJ108" s="24">
        <f t="shared" si="129"/>
        <v>0.5254864431622325</v>
      </c>
      <c r="AM108" s="27">
        <f t="shared" si="165"/>
        <v>215.5299997329712</v>
      </c>
      <c r="AN108" s="27">
        <f t="shared" si="130"/>
        <v>1</v>
      </c>
      <c r="AO108" s="27">
        <f t="shared" si="131"/>
        <v>0.8145761604787061</v>
      </c>
      <c r="AP108" s="27">
        <f t="shared" si="132"/>
        <v>175.56559965046023</v>
      </c>
      <c r="AQ108" s="27">
        <f t="shared" si="133"/>
        <v>0.027875261141778202</v>
      </c>
      <c r="AR108" s="27">
        <f t="shared" si="187"/>
        <v>1.5387144150261567</v>
      </c>
      <c r="AS108" s="27">
        <f t="shared" si="166"/>
        <v>1</v>
      </c>
      <c r="AT108" s="25">
        <f t="shared" si="167"/>
        <v>2.7014531896487433</v>
      </c>
      <c r="AU108" s="25">
        <f t="shared" si="188"/>
        <v>1.2696829991349092</v>
      </c>
      <c r="AW108" s="25">
        <f t="shared" si="189"/>
        <v>0.6</v>
      </c>
      <c r="AX108" s="25">
        <f t="shared" si="134"/>
        <v>0.09291771341647843</v>
      </c>
      <c r="AY108" s="25">
        <f t="shared" si="190"/>
        <v>0.28807136456268756</v>
      </c>
      <c r="AZ108" s="25">
        <f t="shared" si="135"/>
        <v>0.6514018637430735</v>
      </c>
      <c r="BA108" s="25">
        <f t="shared" si="136"/>
        <v>0.06052677169423892</v>
      </c>
      <c r="BB108" s="25">
        <f t="shared" si="191"/>
        <v>0.07684981301269521</v>
      </c>
      <c r="BC108" s="25">
        <f t="shared" si="192"/>
        <v>0.36575931412283896</v>
      </c>
      <c r="BD108" s="25">
        <f t="shared" si="193"/>
        <v>0.8270738719993751</v>
      </c>
      <c r="BG108" s="76">
        <f t="shared" si="206"/>
        <v>32813</v>
      </c>
      <c r="BH108" s="30">
        <f t="shared" si="194"/>
        <v>30</v>
      </c>
      <c r="BI108" s="27">
        <f>'PSP-1 Metdata'!D109</f>
        <v>13.849999904632568</v>
      </c>
      <c r="BJ108" s="28">
        <f>'PSP-1 Metdata'!E109</f>
        <v>17.899999618530273</v>
      </c>
      <c r="BK108" s="28">
        <f>'PSP-1 Metdata'!F109</f>
        <v>9.800000190734863</v>
      </c>
      <c r="BL108" s="28">
        <f>'PSP-1 Metdata'!G109</f>
        <v>149.6</v>
      </c>
      <c r="BM108" s="28">
        <f>'PSP-1 Metdata'!I109</f>
        <v>7.184333324432373</v>
      </c>
      <c r="BN108" s="28">
        <f>'PSP-1 Metdata'!J109</f>
        <v>21</v>
      </c>
      <c r="BO108" s="28">
        <f>'PSP-1 Metdata'!K109</f>
        <v>0</v>
      </c>
      <c r="BP108" s="25">
        <f>'PSP-1 Metdata'!L109</f>
        <v>20.508361575311643</v>
      </c>
      <c r="BQ108" s="25">
        <f>'PSP-1 Metdata'!M109</f>
        <v>12.11514319801641</v>
      </c>
      <c r="BR108" s="25">
        <f>'PSP-1 Metdata'!N109</f>
        <v>4.196609188647616</v>
      </c>
      <c r="BT108" s="25">
        <f t="shared" si="169"/>
        <v>35312.835538885876</v>
      </c>
      <c r="BU108" s="25">
        <f t="shared" si="195"/>
        <v>72.75857126276051</v>
      </c>
      <c r="BV108" s="25">
        <f t="shared" si="196"/>
        <v>0.2</v>
      </c>
      <c r="BW108" s="25">
        <f t="shared" si="197"/>
        <v>1541.115756416038</v>
      </c>
      <c r="BX108" s="25">
        <f t="shared" si="198"/>
        <v>0.01050972886324465</v>
      </c>
      <c r="BY108" s="25">
        <f t="shared" si="137"/>
        <v>22.229986653552388</v>
      </c>
      <c r="BZ108" s="25">
        <f t="shared" si="138"/>
        <v>76.52656925559867</v>
      </c>
      <c r="CA108" s="27">
        <f t="shared" si="155"/>
        <v>1.0985244530398848</v>
      </c>
      <c r="CB108" s="139">
        <f t="shared" si="170"/>
        <v>32.95573359119654</v>
      </c>
      <c r="CD108" s="27">
        <f>IF(CJ107&lt;'DadosReais&amp;Graficos'!MinASW,'DadosReais&amp;Graficos'!MinASW,IF(CJ107&gt;'DadosReais&amp;Graficos'!MaxASW,'DadosReais&amp;Graficos'!MaxASW,CJ107))</f>
        <v>82.05255056457611</v>
      </c>
      <c r="CE108" s="25">
        <f t="shared" si="199"/>
        <v>22.439999999999998</v>
      </c>
      <c r="CG108" s="27">
        <f t="shared" si="200"/>
        <v>231.6525505645761</v>
      </c>
      <c r="CH108" s="27">
        <f t="shared" si="171"/>
        <v>55.39573359119654</v>
      </c>
      <c r="CI108" s="27">
        <f>MAX(CG108-CH108-'DadosReais&amp;Graficos'!MaxASW,0)</f>
        <v>0</v>
      </c>
      <c r="CJ108" s="27">
        <f t="shared" si="172"/>
        <v>176.25681697337956</v>
      </c>
      <c r="CK108" s="27">
        <f>poolFractn*Month!CI108</f>
        <v>0</v>
      </c>
      <c r="CQ108" s="25">
        <f>SIN(PI()*'DadosReais&amp;Graficos'!Lat/180)</f>
        <v>0.6293203910498374</v>
      </c>
      <c r="CR108" s="25">
        <f>COS(PI()*'DadosReais&amp;Graficos'!Lat/180)</f>
        <v>0.7771459614569709</v>
      </c>
      <c r="CS108" s="25">
        <f t="shared" si="139"/>
        <v>1989</v>
      </c>
      <c r="CT108" s="29">
        <f t="shared" si="175"/>
        <v>32509</v>
      </c>
      <c r="CU108" s="30">
        <f t="shared" si="173"/>
        <v>11</v>
      </c>
      <c r="CV108" s="27">
        <f t="shared" si="201"/>
        <v>319</v>
      </c>
      <c r="CW108" s="25">
        <f t="shared" si="176"/>
        <v>-0.3297749470179898</v>
      </c>
      <c r="CX108" s="25">
        <f t="shared" si="140"/>
        <v>0.2828703751751745</v>
      </c>
      <c r="CY108" s="25">
        <f t="shared" si="177"/>
        <v>0.40871337429266064</v>
      </c>
      <c r="CZ108" s="25">
        <f t="shared" si="178"/>
        <v>35312.835538885876</v>
      </c>
    </row>
    <row r="109" spans="1:104" ht="12.75">
      <c r="A109" s="149">
        <f t="shared" si="202"/>
        <v>32840</v>
      </c>
      <c r="B109" s="60">
        <f t="shared" si="141"/>
        <v>14.67</v>
      </c>
      <c r="C109" s="78">
        <f t="shared" si="142"/>
        <v>14.666666666666707</v>
      </c>
      <c r="D109" s="171">
        <f t="shared" si="160"/>
        <v>201505.39517696894</v>
      </c>
      <c r="E109" s="30">
        <f t="shared" si="179"/>
        <v>1111</v>
      </c>
      <c r="F109" s="27">
        <f t="shared" si="203"/>
        <v>8.392872843237791</v>
      </c>
      <c r="G109" s="27">
        <f t="shared" si="204"/>
        <v>36.2191276811577</v>
      </c>
      <c r="H109" s="27">
        <f t="shared" si="205"/>
        <v>174.88900187924793</v>
      </c>
      <c r="I109" s="27">
        <f t="shared" si="164"/>
        <v>183.28187472248572</v>
      </c>
      <c r="J109" s="27">
        <f t="shared" si="117"/>
        <v>219.5010024036434</v>
      </c>
      <c r="K109" s="27">
        <f t="shared" si="118"/>
        <v>4.00000000030501</v>
      </c>
      <c r="L109" s="27">
        <f t="shared" si="119"/>
        <v>3.357149137551108</v>
      </c>
      <c r="M109" s="27">
        <f t="shared" si="120"/>
        <v>10.505548000787192</v>
      </c>
      <c r="O109" s="25">
        <f t="shared" si="180"/>
        <v>0.013</v>
      </c>
      <c r="P109" s="25">
        <f t="shared" si="121"/>
        <v>0.10910734696209128</v>
      </c>
      <c r="Q109" s="25">
        <f t="shared" si="122"/>
        <v>0.36219127681157703</v>
      </c>
      <c r="S109" s="27">
        <f t="shared" si="174"/>
        <v>157.4158432756507</v>
      </c>
      <c r="T109" s="27">
        <f t="shared" si="181"/>
        <v>18.84912843940341</v>
      </c>
      <c r="U109" s="27">
        <f t="shared" si="123"/>
        <v>0.1537204712155504</v>
      </c>
      <c r="V109" s="27">
        <f t="shared" si="124"/>
        <v>0.45</v>
      </c>
      <c r="W109" s="27">
        <f t="shared" si="182"/>
        <v>328.899960222117</v>
      </c>
      <c r="X109" s="27">
        <f t="shared" si="183"/>
        <v>22.424997287871552</v>
      </c>
      <c r="Y109" s="27">
        <f t="shared" si="184"/>
        <v>31.001769849358535</v>
      </c>
      <c r="AA109" s="24">
        <f t="shared" si="185"/>
        <v>0.9572556615606987</v>
      </c>
      <c r="AB109" s="23">
        <f t="shared" si="125"/>
        <v>0.8602133004255151</v>
      </c>
      <c r="AC109" s="23">
        <f>IF('DadosReais&amp;Graficos'!soilClass&gt;0,0.8-0.1*'DadosReais&amp;Graficos'!soilClass,IF('DadosReais&amp;Graficos'!soilClass&lt;0,SWconst0,999))</f>
        <v>0.6000000000000001</v>
      </c>
      <c r="AD109" s="23">
        <f>IF('DadosReais&amp;Graficos'!soilClass&gt;0,11-2*'DadosReais&amp;Graficos'!soilClass,SWpower0)</f>
        <v>7</v>
      </c>
      <c r="AE109" s="24">
        <f>1/(1+((1-CD109/'DadosReais&amp;Graficos'!MaxASW)/AC109)^AD109)</f>
        <v>0.9999881286884085</v>
      </c>
      <c r="AF109" s="24">
        <f t="shared" si="126"/>
        <v>0.6</v>
      </c>
      <c r="AG109" s="27">
        <f t="shared" si="186"/>
        <v>1</v>
      </c>
      <c r="AH109" s="27">
        <f t="shared" si="127"/>
        <v>1</v>
      </c>
      <c r="AI109" s="27">
        <f t="shared" si="128"/>
        <v>0.9909921434794696</v>
      </c>
      <c r="AJ109" s="24">
        <f t="shared" si="129"/>
        <v>0.8524646224382302</v>
      </c>
      <c r="AM109" s="27">
        <f t="shared" si="165"/>
        <v>149.7400050163269</v>
      </c>
      <c r="AN109" s="27">
        <f t="shared" si="130"/>
        <v>1</v>
      </c>
      <c r="AO109" s="27">
        <f t="shared" si="131"/>
        <v>0.8133601712433517</v>
      </c>
      <c r="AP109" s="27">
        <f t="shared" si="132"/>
        <v>121.79255612205999</v>
      </c>
      <c r="AQ109" s="27">
        <f t="shared" si="133"/>
        <v>0.04488146223600596</v>
      </c>
      <c r="AR109" s="27">
        <f t="shared" si="187"/>
        <v>2.477456715427529</v>
      </c>
      <c r="AS109" s="27">
        <f t="shared" si="166"/>
        <v>1</v>
      </c>
      <c r="AT109" s="25">
        <f t="shared" si="167"/>
        <v>3.017357860536817</v>
      </c>
      <c r="AU109" s="25">
        <f t="shared" si="188"/>
        <v>1.4181581944523038</v>
      </c>
      <c r="AW109" s="25">
        <f t="shared" si="189"/>
        <v>0.6</v>
      </c>
      <c r="AX109" s="25">
        <f t="shared" si="134"/>
        <v>0.09283264830195771</v>
      </c>
      <c r="AY109" s="25">
        <f t="shared" si="190"/>
        <v>0.22795135177033915</v>
      </c>
      <c r="AZ109" s="25">
        <f t="shared" si="135"/>
        <v>0.7064655777161026</v>
      </c>
      <c r="BA109" s="25">
        <f t="shared" si="136"/>
        <v>0.06558307051355827</v>
      </c>
      <c r="BB109" s="25">
        <f t="shared" si="191"/>
        <v>0.09300716886614593</v>
      </c>
      <c r="BC109" s="25">
        <f t="shared" si="192"/>
        <v>0.32327107744958616</v>
      </c>
      <c r="BD109" s="25">
        <f t="shared" si="193"/>
        <v>1.0018799481365719</v>
      </c>
      <c r="BG109" s="76">
        <f t="shared" si="206"/>
        <v>32843</v>
      </c>
      <c r="BH109" s="30">
        <f t="shared" si="194"/>
        <v>31</v>
      </c>
      <c r="BI109" s="27">
        <f>'PSP-1 Metdata'!D110</f>
        <v>13.650000095367432</v>
      </c>
      <c r="BJ109" s="28">
        <f>'PSP-1 Metdata'!E110</f>
        <v>16.600000381469727</v>
      </c>
      <c r="BK109" s="28">
        <f>'PSP-1 Metdata'!F110</f>
        <v>10.699999809265137</v>
      </c>
      <c r="BL109" s="28">
        <f>'PSP-1 Metdata'!G110</f>
        <v>235.039990234375</v>
      </c>
      <c r="BM109" s="28">
        <f>'PSP-1 Metdata'!I110</f>
        <v>4.830322742462158</v>
      </c>
      <c r="BN109" s="28">
        <f>'PSP-1 Metdata'!J110</f>
        <v>22</v>
      </c>
      <c r="BO109" s="28">
        <f>'PSP-1 Metdata'!K110</f>
        <v>0</v>
      </c>
      <c r="BP109" s="25">
        <f>'PSP-1 Metdata'!L110</f>
        <v>18.889668103409804</v>
      </c>
      <c r="BQ109" s="25">
        <f>'PSP-1 Metdata'!M110</f>
        <v>12.866672233938193</v>
      </c>
      <c r="BR109" s="25">
        <f>'PSP-1 Metdata'!N110</f>
        <v>3.0114979347358055</v>
      </c>
      <c r="BT109" s="25">
        <f t="shared" si="169"/>
        <v>33294.53956575766</v>
      </c>
      <c r="BU109" s="25">
        <f t="shared" si="195"/>
        <v>26.06282124243549</v>
      </c>
      <c r="BV109" s="25">
        <f t="shared" si="196"/>
        <v>0.2</v>
      </c>
      <c r="BW109" s="25">
        <f t="shared" si="197"/>
        <v>1105.9087727755084</v>
      </c>
      <c r="BX109" s="25">
        <f t="shared" si="198"/>
        <v>0.017049292448764602</v>
      </c>
      <c r="BY109" s="25">
        <f t="shared" si="137"/>
        <v>14.93069208596349</v>
      </c>
      <c r="BZ109" s="25">
        <f t="shared" si="138"/>
        <v>77.90978293648209</v>
      </c>
      <c r="CA109" s="27">
        <f t="shared" si="155"/>
        <v>1.0544594920887373</v>
      </c>
      <c r="CB109" s="139">
        <f t="shared" si="170"/>
        <v>32.688244254750856</v>
      </c>
      <c r="CD109" s="27">
        <f>IF(CJ108&lt;'DadosReais&amp;Graficos'!MinASW,'DadosReais&amp;Graficos'!MinASW,IF(CJ108&gt;'DadosReais&amp;Graficos'!MaxASW,'DadosReais&amp;Graficos'!MaxASW,CJ108))</f>
        <v>176.25681697337956</v>
      </c>
      <c r="CE109" s="25">
        <f t="shared" si="199"/>
        <v>35.25599853515625</v>
      </c>
      <c r="CG109" s="27">
        <f t="shared" si="200"/>
        <v>411.29680720775457</v>
      </c>
      <c r="CH109" s="27">
        <f t="shared" si="171"/>
        <v>67.94424278990711</v>
      </c>
      <c r="CI109" s="27">
        <f>MAX(CG109-CH109-'DadosReais&amp;Graficos'!MaxASW,0)</f>
        <v>143.35256441784747</v>
      </c>
      <c r="CJ109" s="27">
        <f t="shared" si="172"/>
        <v>200</v>
      </c>
      <c r="CK109" s="27">
        <f>poolFractn*Month!CI109</f>
        <v>0</v>
      </c>
      <c r="CQ109" s="25">
        <f>SIN(PI()*'DadosReais&amp;Graficos'!Lat/180)</f>
        <v>0.6293203910498374</v>
      </c>
      <c r="CR109" s="25">
        <f>COS(PI()*'DadosReais&amp;Graficos'!Lat/180)</f>
        <v>0.7771459614569709</v>
      </c>
      <c r="CS109" s="25">
        <f t="shared" si="139"/>
        <v>1989</v>
      </c>
      <c r="CT109" s="29">
        <f t="shared" si="175"/>
        <v>32509</v>
      </c>
      <c r="CU109" s="30">
        <f t="shared" si="173"/>
        <v>12</v>
      </c>
      <c r="CV109" s="27">
        <f t="shared" si="201"/>
        <v>350</v>
      </c>
      <c r="CW109" s="25">
        <f t="shared" si="176"/>
        <v>-0.39906495399591085</v>
      </c>
      <c r="CX109" s="25">
        <f t="shared" si="140"/>
        <v>0.352435862283474</v>
      </c>
      <c r="CY109" s="25">
        <f t="shared" si="177"/>
        <v>0.3853534671962692</v>
      </c>
      <c r="CZ109" s="25">
        <f t="shared" si="178"/>
        <v>33294.53956575766</v>
      </c>
    </row>
    <row r="110" spans="1:104" ht="12.75">
      <c r="A110" s="149">
        <f t="shared" si="202"/>
        <v>32870</v>
      </c>
      <c r="B110" s="60">
        <f t="shared" si="141"/>
        <v>14.75</v>
      </c>
      <c r="C110" s="78">
        <f t="shared" si="142"/>
        <v>14.75000000000004</v>
      </c>
      <c r="D110" s="171">
        <f t="shared" si="160"/>
        <v>200165.45796356752</v>
      </c>
      <c r="E110" s="30">
        <f t="shared" si="179"/>
        <v>1111</v>
      </c>
      <c r="F110" s="27">
        <f t="shared" si="203"/>
        <v>8.376772665141846</v>
      </c>
      <c r="G110" s="27">
        <f t="shared" si="204"/>
        <v>36.180207481795705</v>
      </c>
      <c r="H110" s="27">
        <f t="shared" si="205"/>
        <v>175.8908818273845</v>
      </c>
      <c r="I110" s="27">
        <f t="shared" si="164"/>
        <v>184.26765449252636</v>
      </c>
      <c r="J110" s="27">
        <f t="shared" si="117"/>
        <v>220.44786197432205</v>
      </c>
      <c r="K110" s="27">
        <f t="shared" si="118"/>
        <v>4.000000000232404</v>
      </c>
      <c r="L110" s="27">
        <f t="shared" si="119"/>
        <v>3.3507090662514187</v>
      </c>
      <c r="M110" s="27">
        <f t="shared" si="120"/>
        <v>10.614655347749283</v>
      </c>
      <c r="O110" s="25">
        <f t="shared" si="180"/>
        <v>0.013</v>
      </c>
      <c r="P110" s="25">
        <f t="shared" si="121"/>
        <v>0.108898044646844</v>
      </c>
      <c r="Q110" s="25">
        <f t="shared" si="122"/>
        <v>0.36180207481795706</v>
      </c>
      <c r="S110" s="27">
        <f t="shared" si="174"/>
        <v>158.31762540718677</v>
      </c>
      <c r="T110" s="27">
        <f t="shared" si="181"/>
        <v>18.888957678165458</v>
      </c>
      <c r="U110" s="27">
        <f t="shared" si="123"/>
        <v>0.1536145566220498</v>
      </c>
      <c r="V110" s="27">
        <f t="shared" si="124"/>
        <v>0.45</v>
      </c>
      <c r="W110" s="27">
        <f t="shared" si="182"/>
        <v>330.82551555913216</v>
      </c>
      <c r="X110" s="27">
        <f t="shared" si="183"/>
        <v>22.428848512483473</v>
      </c>
      <c r="Y110" s="27">
        <f t="shared" si="184"/>
        <v>31.132925141008933</v>
      </c>
      <c r="AA110" s="24">
        <f t="shared" si="185"/>
        <v>0.6221293332039016</v>
      </c>
      <c r="AB110" s="23">
        <f t="shared" si="125"/>
        <v>0.7835242058483155</v>
      </c>
      <c r="AC110" s="23">
        <f>IF('DadosReais&amp;Graficos'!soilClass&gt;0,0.8-0.1*'DadosReais&amp;Graficos'!soilClass,IF('DadosReais&amp;Graficos'!soilClass&lt;0,SWconst0,999))</f>
        <v>0.6000000000000001</v>
      </c>
      <c r="AD110" s="23">
        <f>IF('DadosReais&amp;Graficos'!soilClass&gt;0,11-2*'DadosReais&amp;Graficos'!soilClass,SWpower0)</f>
        <v>7</v>
      </c>
      <c r="AE110" s="24">
        <f>1/(1+((1-CD110/'DadosReais&amp;Graficos'!MaxASW)/AC110)^AD110)</f>
        <v>1</v>
      </c>
      <c r="AF110" s="24">
        <f t="shared" si="126"/>
        <v>0.6</v>
      </c>
      <c r="AG110" s="27">
        <f t="shared" si="186"/>
        <v>1</v>
      </c>
      <c r="AH110" s="27">
        <f t="shared" si="127"/>
        <v>0.8</v>
      </c>
      <c r="AI110" s="27">
        <f t="shared" si="128"/>
        <v>0.9907875701826899</v>
      </c>
      <c r="AJ110" s="24">
        <f t="shared" si="129"/>
        <v>0.7763060440917743</v>
      </c>
      <c r="AM110" s="27">
        <f t="shared" si="165"/>
        <v>253.72998714447021</v>
      </c>
      <c r="AN110" s="27">
        <f t="shared" si="130"/>
        <v>1</v>
      </c>
      <c r="AO110" s="27">
        <f t="shared" si="131"/>
        <v>0.8127582157020441</v>
      </c>
      <c r="AP110" s="27">
        <f t="shared" si="132"/>
        <v>206.2211316216422</v>
      </c>
      <c r="AQ110" s="27">
        <f t="shared" si="133"/>
        <v>0.021250361509210863</v>
      </c>
      <c r="AR110" s="27">
        <f t="shared" si="187"/>
        <v>1.1730199553084395</v>
      </c>
      <c r="AS110" s="27">
        <f t="shared" si="166"/>
        <v>1</v>
      </c>
      <c r="AT110" s="25">
        <f t="shared" si="167"/>
        <v>2.419015025984746</v>
      </c>
      <c r="AU110" s="25">
        <f t="shared" si="188"/>
        <v>1.1369370622128305</v>
      </c>
      <c r="AW110" s="25">
        <f t="shared" si="189"/>
        <v>0.6</v>
      </c>
      <c r="AX110" s="25">
        <f t="shared" si="134"/>
        <v>0.09273024490214068</v>
      </c>
      <c r="AY110" s="25">
        <f t="shared" si="190"/>
        <v>0.2395980355691807</v>
      </c>
      <c r="AZ110" s="25">
        <f t="shared" si="135"/>
        <v>0.6958734490770108</v>
      </c>
      <c r="BA110" s="25">
        <f t="shared" si="136"/>
        <v>0.06452851535380855</v>
      </c>
      <c r="BB110" s="25">
        <f t="shared" si="191"/>
        <v>0.07336486067531461</v>
      </c>
      <c r="BC110" s="25">
        <f t="shared" si="192"/>
        <v>0.27240788667198956</v>
      </c>
      <c r="BD110" s="25">
        <f t="shared" si="193"/>
        <v>0.7911643148655263</v>
      </c>
      <c r="BG110" s="76">
        <f t="shared" si="206"/>
        <v>32874</v>
      </c>
      <c r="BH110" s="30">
        <f t="shared" si="194"/>
        <v>31</v>
      </c>
      <c r="BI110" s="27">
        <f>'PSP-1 Metdata'!D111</f>
        <v>9.5</v>
      </c>
      <c r="BJ110" s="28">
        <f>'PSP-1 Metdata'!E111</f>
        <v>15.5</v>
      </c>
      <c r="BK110" s="28">
        <f>'PSP-1 Metdata'!F111</f>
        <v>3.5</v>
      </c>
      <c r="BL110" s="28">
        <f>'PSP-1 Metdata'!G111</f>
        <v>124.3199951171875</v>
      </c>
      <c r="BM110" s="28">
        <f>'PSP-1 Metdata'!I111</f>
        <v>8.18483829498291</v>
      </c>
      <c r="BN110" s="28">
        <f>'PSP-1 Metdata'!J111</f>
        <v>14</v>
      </c>
      <c r="BO110" s="28">
        <f>'PSP-1 Metdata'!K111</f>
        <v>6</v>
      </c>
      <c r="BP110" s="25">
        <f>'PSP-1 Metdata'!L111</f>
        <v>17.60857268023594</v>
      </c>
      <c r="BQ110" s="25">
        <f>'PSP-1 Metdata'!M111</f>
        <v>7.850439754090702</v>
      </c>
      <c r="BR110" s="25">
        <f>'PSP-1 Metdata'!N111</f>
        <v>4.87906646307262</v>
      </c>
      <c r="BT110" s="25">
        <f t="shared" si="169"/>
        <v>34557.10261977032</v>
      </c>
      <c r="BU110" s="25">
        <f t="shared" si="195"/>
        <v>99.47973468818111</v>
      </c>
      <c r="BV110" s="25">
        <f t="shared" si="196"/>
        <v>0.2</v>
      </c>
      <c r="BW110" s="25">
        <f t="shared" si="197"/>
        <v>1791.7337223544027</v>
      </c>
      <c r="BX110" s="25">
        <f t="shared" si="198"/>
        <v>0.015526120881835486</v>
      </c>
      <c r="BY110" s="25">
        <f t="shared" si="137"/>
        <v>16.08151763870308</v>
      </c>
      <c r="BZ110" s="25">
        <f t="shared" si="138"/>
        <v>125.02483806811584</v>
      </c>
      <c r="CA110" s="27">
        <f t="shared" si="155"/>
        <v>1.7562992516829454</v>
      </c>
      <c r="CB110" s="139">
        <f t="shared" si="170"/>
        <v>54.44527680217131</v>
      </c>
      <c r="CD110" s="27">
        <f>IF(CJ109&lt;'DadosReais&amp;Graficos'!MinASW,'DadosReais&amp;Graficos'!MinASW,IF(CJ109&gt;'DadosReais&amp;Graficos'!MaxASW,'DadosReais&amp;Graficos'!MaxASW,CJ109))</f>
        <v>200</v>
      </c>
      <c r="CE110" s="25">
        <f t="shared" si="199"/>
        <v>18.647999267578125</v>
      </c>
      <c r="CG110" s="27">
        <f t="shared" si="200"/>
        <v>324.3199951171875</v>
      </c>
      <c r="CH110" s="27">
        <f t="shared" si="171"/>
        <v>73.09327606974944</v>
      </c>
      <c r="CI110" s="27">
        <f>MAX(CG110-CH110-'DadosReais&amp;Graficos'!MaxASW,0)</f>
        <v>51.22671904743805</v>
      </c>
      <c r="CJ110" s="27">
        <f t="shared" si="172"/>
        <v>200</v>
      </c>
      <c r="CK110" s="27">
        <f>poolFractn*Month!CI110</f>
        <v>0</v>
      </c>
      <c r="CQ110" s="25">
        <f>SIN(PI()*'DadosReais&amp;Graficos'!Lat/180)</f>
        <v>0.6293203910498374</v>
      </c>
      <c r="CR110" s="25">
        <f>COS(PI()*'DadosReais&amp;Graficos'!Lat/180)</f>
        <v>0.7771459614569709</v>
      </c>
      <c r="CS110" s="25">
        <f t="shared" si="139"/>
        <v>1989</v>
      </c>
      <c r="CT110" s="29">
        <f t="shared" si="175"/>
        <v>32509</v>
      </c>
      <c r="CU110" s="30">
        <f t="shared" si="173"/>
        <v>1</v>
      </c>
      <c r="CV110" s="27">
        <f t="shared" si="201"/>
        <v>16</v>
      </c>
      <c r="CW110" s="25">
        <f t="shared" si="176"/>
        <v>-0.3566279806934116</v>
      </c>
      <c r="CX110" s="25">
        <f t="shared" si="140"/>
        <v>0.30911718809788097</v>
      </c>
      <c r="CY110" s="25">
        <f t="shared" si="177"/>
        <v>0.39996646550660087</v>
      </c>
      <c r="CZ110" s="25">
        <f t="shared" si="178"/>
        <v>34557.10261977032</v>
      </c>
    </row>
    <row r="111" spans="1:104" ht="12.75">
      <c r="A111" s="149">
        <f t="shared" si="202"/>
        <v>32901</v>
      </c>
      <c r="B111" s="60">
        <f t="shared" si="141"/>
        <v>14.83</v>
      </c>
      <c r="C111" s="78">
        <f t="shared" si="142"/>
        <v>14.833333333333375</v>
      </c>
      <c r="D111" s="171">
        <f t="shared" si="160"/>
        <v>199231.40191024827</v>
      </c>
      <c r="E111" s="30">
        <f t="shared" si="179"/>
        <v>1111</v>
      </c>
      <c r="F111" s="27">
        <f t="shared" si="203"/>
        <v>8.341239481170316</v>
      </c>
      <c r="G111" s="27">
        <f t="shared" si="204"/>
        <v>36.09081329364974</v>
      </c>
      <c r="H111" s="27">
        <f t="shared" si="205"/>
        <v>176.68204614225004</v>
      </c>
      <c r="I111" s="27">
        <f t="shared" si="164"/>
        <v>185.02328562342035</v>
      </c>
      <c r="J111" s="27">
        <f t="shared" si="117"/>
        <v>221.1140989170701</v>
      </c>
      <c r="K111" s="27">
        <f t="shared" si="118"/>
        <v>4.000000000176809</v>
      </c>
      <c r="L111" s="27">
        <f t="shared" si="119"/>
        <v>3.3364957926156067</v>
      </c>
      <c r="M111" s="27">
        <f t="shared" si="120"/>
        <v>10.723553392396127</v>
      </c>
      <c r="O111" s="25">
        <f t="shared" si="180"/>
        <v>0.013</v>
      </c>
      <c r="P111" s="25">
        <f t="shared" si="121"/>
        <v>0.1084361132552141</v>
      </c>
      <c r="Q111" s="25">
        <f t="shared" si="122"/>
        <v>0.3609081329364974</v>
      </c>
      <c r="S111" s="27">
        <f t="shared" si="174"/>
        <v>159.0297445024753</v>
      </c>
      <c r="T111" s="27">
        <f t="shared" si="181"/>
        <v>18.920309062544465</v>
      </c>
      <c r="U111" s="27">
        <f t="shared" si="123"/>
        <v>0.15351165721142968</v>
      </c>
      <c r="V111" s="27">
        <f t="shared" si="124"/>
        <v>0.45</v>
      </c>
      <c r="W111" s="27">
        <f t="shared" si="182"/>
        <v>332.353983198771</v>
      </c>
      <c r="X111" s="27">
        <f t="shared" si="183"/>
        <v>22.405886507782252</v>
      </c>
      <c r="Y111" s="27">
        <f t="shared" si="184"/>
        <v>31.236358092568683</v>
      </c>
      <c r="AA111" s="24">
        <f t="shared" si="185"/>
        <v>0.9493014626326202</v>
      </c>
      <c r="AB111" s="23">
        <f t="shared" si="125"/>
        <v>0.7938333317154199</v>
      </c>
      <c r="AC111" s="23">
        <f>IF('DadosReais&amp;Graficos'!soilClass&gt;0,0.8-0.1*'DadosReais&amp;Graficos'!soilClass,IF('DadosReais&amp;Graficos'!soilClass&lt;0,SWconst0,999))</f>
        <v>0.6000000000000001</v>
      </c>
      <c r="AD111" s="23">
        <f>IF('DadosReais&amp;Graficos'!soilClass&gt;0,11-2*'DadosReais&amp;Graficos'!soilClass,SWpower0)</f>
        <v>7</v>
      </c>
      <c r="AE111" s="24">
        <f>1/(1+((1-CD111/'DadosReais&amp;Graficos'!MaxASW)/AC111)^AD111)</f>
        <v>1</v>
      </c>
      <c r="AF111" s="24">
        <f t="shared" si="126"/>
        <v>0.6</v>
      </c>
      <c r="AG111" s="27">
        <f t="shared" si="186"/>
        <v>1</v>
      </c>
      <c r="AH111" s="27">
        <f t="shared" si="127"/>
        <v>1</v>
      </c>
      <c r="AI111" s="27">
        <f t="shared" si="128"/>
        <v>0.9905795866213386</v>
      </c>
      <c r="AJ111" s="24">
        <f t="shared" si="129"/>
        <v>0.7863550935769006</v>
      </c>
      <c r="AM111" s="27">
        <f t="shared" si="165"/>
        <v>328.320011138916</v>
      </c>
      <c r="AN111" s="27">
        <f t="shared" si="130"/>
        <v>1</v>
      </c>
      <c r="AO111" s="27">
        <f t="shared" si="131"/>
        <v>0.8114228168669134</v>
      </c>
      <c r="AP111" s="27">
        <f t="shared" si="132"/>
        <v>266.4063482721156</v>
      </c>
      <c r="AQ111" s="27">
        <f t="shared" si="133"/>
        <v>0.04105684222646395</v>
      </c>
      <c r="AR111" s="27">
        <f t="shared" si="187"/>
        <v>2.26633769090081</v>
      </c>
      <c r="AS111" s="27">
        <f t="shared" si="166"/>
        <v>1</v>
      </c>
      <c r="AT111" s="25">
        <f t="shared" si="167"/>
        <v>6.037667481843434</v>
      </c>
      <c r="AU111" s="25">
        <f t="shared" si="188"/>
        <v>2.837703716466414</v>
      </c>
      <c r="AW111" s="25">
        <f t="shared" si="189"/>
        <v>0.6</v>
      </c>
      <c r="AX111" s="25">
        <f t="shared" si="134"/>
        <v>0.09264986958963313</v>
      </c>
      <c r="AY111" s="25">
        <f t="shared" si="190"/>
        <v>0.2379935659963433</v>
      </c>
      <c r="AZ111" s="25">
        <f t="shared" si="135"/>
        <v>0.697393058116452</v>
      </c>
      <c r="BA111" s="25">
        <f t="shared" si="136"/>
        <v>0.06461337588720473</v>
      </c>
      <c r="BB111" s="25">
        <f t="shared" si="191"/>
        <v>0.18335361688856225</v>
      </c>
      <c r="BC111" s="25">
        <f t="shared" si="192"/>
        <v>0.6753552267229181</v>
      </c>
      <c r="BD111" s="25">
        <f t="shared" si="193"/>
        <v>1.9789948728549338</v>
      </c>
      <c r="BG111" s="76">
        <f t="shared" si="206"/>
        <v>32905</v>
      </c>
      <c r="BH111" s="30">
        <f t="shared" si="194"/>
        <v>28</v>
      </c>
      <c r="BI111" s="27">
        <f>'PSP-1 Metdata'!D112</f>
        <v>13.449999809265137</v>
      </c>
      <c r="BJ111" s="28">
        <f>'PSP-1 Metdata'!E112</f>
        <v>18</v>
      </c>
      <c r="BK111" s="28">
        <f>'PSP-1 Metdata'!F112</f>
        <v>8.899999618530273</v>
      </c>
      <c r="BL111" s="28">
        <f>'PSP-1 Metdata'!G112</f>
        <v>37.76000061035156</v>
      </c>
      <c r="BM111" s="28">
        <f>'PSP-1 Metdata'!I112</f>
        <v>11.725714683532715</v>
      </c>
      <c r="BN111" s="28">
        <f>'PSP-1 Metdata'!J112</f>
        <v>6</v>
      </c>
      <c r="BO111" s="28">
        <f>'PSP-1 Metdata'!K112</f>
        <v>0</v>
      </c>
      <c r="BP111" s="25">
        <f>'PSP-1 Metdata'!L112</f>
        <v>20.637761072587516</v>
      </c>
      <c r="BQ111" s="25">
        <f>'PSP-1 Metdata'!M112</f>
        <v>11.402491094690165</v>
      </c>
      <c r="BR111" s="25">
        <f>'PSP-1 Metdata'!N112</f>
        <v>4.617634988948676</v>
      </c>
      <c r="BT111" s="25">
        <f t="shared" si="169"/>
        <v>37850.90307676919</v>
      </c>
      <c r="BU111" s="25">
        <f t="shared" si="195"/>
        <v>157.82953600342114</v>
      </c>
      <c r="BV111" s="25">
        <f t="shared" si="196"/>
        <v>0.2</v>
      </c>
      <c r="BW111" s="25">
        <f t="shared" si="197"/>
        <v>1695.7285558296353</v>
      </c>
      <c r="BX111" s="25">
        <f t="shared" si="198"/>
        <v>0.015727101871538012</v>
      </c>
      <c r="BY111" s="25">
        <f t="shared" si="137"/>
        <v>15.916901157863567</v>
      </c>
      <c r="BZ111" s="25">
        <f t="shared" si="138"/>
        <v>128.35121075234318</v>
      </c>
      <c r="CA111" s="27">
        <f t="shared" si="155"/>
        <v>1.9748818040540312</v>
      </c>
      <c r="CB111" s="139">
        <f t="shared" si="170"/>
        <v>55.29669051351287</v>
      </c>
      <c r="CD111" s="27">
        <f>IF(CJ110&lt;'DadosReais&amp;Graficos'!MinASW,'DadosReais&amp;Graficos'!MinASW,IF(CJ110&gt;'DadosReais&amp;Graficos'!MaxASW,'DadosReais&amp;Graficos'!MaxASW,CJ110))</f>
        <v>200</v>
      </c>
      <c r="CE111" s="25">
        <f t="shared" si="199"/>
        <v>5.664000091552734</v>
      </c>
      <c r="CG111" s="27">
        <f t="shared" si="200"/>
        <v>237.76000061035157</v>
      </c>
      <c r="CH111" s="27">
        <f t="shared" si="171"/>
        <v>60.96069060506561</v>
      </c>
      <c r="CI111" s="27">
        <f>MAX(CG111-CH111-'DadosReais&amp;Graficos'!MaxASW,0)</f>
        <v>0</v>
      </c>
      <c r="CJ111" s="27">
        <f t="shared" si="172"/>
        <v>176.79931000528597</v>
      </c>
      <c r="CK111" s="27">
        <f>poolFractn*Month!CI111</f>
        <v>0</v>
      </c>
      <c r="CQ111" s="25">
        <f>SIN(PI()*'DadosReais&amp;Graficos'!Lat/180)</f>
        <v>0.6293203910498374</v>
      </c>
      <c r="CR111" s="25">
        <f>COS(PI()*'DadosReais&amp;Graficos'!Lat/180)</f>
        <v>0.7771459614569709</v>
      </c>
      <c r="CS111" s="25">
        <f t="shared" si="139"/>
        <v>1990</v>
      </c>
      <c r="CT111" s="29">
        <f t="shared" si="175"/>
        <v>32874</v>
      </c>
      <c r="CU111" s="30">
        <f t="shared" si="173"/>
        <v>2</v>
      </c>
      <c r="CV111" s="27">
        <f t="shared" si="201"/>
        <v>44</v>
      </c>
      <c r="CW111" s="25">
        <f t="shared" si="176"/>
        <v>-0.2321535487640738</v>
      </c>
      <c r="CX111" s="25">
        <f t="shared" si="140"/>
        <v>0.19327466507755395</v>
      </c>
      <c r="CY111" s="25">
        <f t="shared" si="177"/>
        <v>0.43808915598112486</v>
      </c>
      <c r="CZ111" s="25">
        <f t="shared" si="178"/>
        <v>37850.90307676919</v>
      </c>
    </row>
    <row r="112" spans="1:104" ht="12.75">
      <c r="A112" s="149">
        <f t="shared" si="202"/>
        <v>32932</v>
      </c>
      <c r="B112" s="60">
        <f t="shared" si="141"/>
        <v>14.92</v>
      </c>
      <c r="C112" s="78">
        <f t="shared" si="142"/>
        <v>14.916666666666709</v>
      </c>
      <c r="D112" s="171">
        <f t="shared" si="160"/>
        <v>195968.34894042625</v>
      </c>
      <c r="E112" s="30">
        <f t="shared" si="179"/>
        <v>1111</v>
      </c>
      <c r="F112" s="27">
        <f t="shared" si="203"/>
        <v>8.416156984803663</v>
      </c>
      <c r="G112" s="27">
        <f t="shared" si="204"/>
        <v>36.405260387436165</v>
      </c>
      <c r="H112" s="27">
        <f t="shared" si="205"/>
        <v>178.66104101510498</v>
      </c>
      <c r="I112" s="27">
        <f t="shared" si="164"/>
        <v>187.07719799990866</v>
      </c>
      <c r="J112" s="27">
        <f t="shared" si="117"/>
        <v>223.48245838734482</v>
      </c>
      <c r="K112" s="27">
        <f t="shared" si="118"/>
        <v>4.000000000134306</v>
      </c>
      <c r="L112" s="27">
        <f t="shared" si="119"/>
        <v>3.3664627940344998</v>
      </c>
      <c r="M112" s="27">
        <f t="shared" si="120"/>
        <v>10.831989505651341</v>
      </c>
      <c r="O112" s="25">
        <f t="shared" si="180"/>
        <v>0.013</v>
      </c>
      <c r="P112" s="25">
        <f t="shared" si="121"/>
        <v>0.10941004080244762</v>
      </c>
      <c r="Q112" s="25">
        <f t="shared" si="122"/>
        <v>0.36405260387436167</v>
      </c>
      <c r="S112" s="27">
        <f t="shared" si="174"/>
        <v>160.81101801539603</v>
      </c>
      <c r="T112" s="27">
        <f t="shared" si="181"/>
        <v>18.9983448283716</v>
      </c>
      <c r="U112" s="27">
        <f t="shared" si="123"/>
        <v>0.1534116871472863</v>
      </c>
      <c r="V112" s="27">
        <f t="shared" si="124"/>
        <v>0.45</v>
      </c>
      <c r="W112" s="27">
        <f t="shared" si="182"/>
        <v>336.11633174552713</v>
      </c>
      <c r="X112" s="27">
        <f t="shared" si="183"/>
        <v>22.532938441040862</v>
      </c>
      <c r="Y112" s="27">
        <f t="shared" si="184"/>
        <v>31.494554710149966</v>
      </c>
      <c r="AA112" s="24">
        <f t="shared" si="185"/>
        <v>0.9450475790489878</v>
      </c>
      <c r="AB112" s="23">
        <f t="shared" si="125"/>
        <v>0.6899179477601559</v>
      </c>
      <c r="AC112" s="23">
        <f>IF('DadosReais&amp;Graficos'!soilClass&gt;0,0.8-0.1*'DadosReais&amp;Graficos'!soilClass,IF('DadosReais&amp;Graficos'!soilClass&lt;0,SWconst0,999))</f>
        <v>0.6000000000000001</v>
      </c>
      <c r="AD112" s="23">
        <f>IF('DadosReais&amp;Graficos'!soilClass&gt;0,11-2*'DadosReais&amp;Graficos'!soilClass,SWpower0)</f>
        <v>7</v>
      </c>
      <c r="AE112" s="24">
        <f>1/(1+((1-CD112/'DadosReais&amp;Graficos'!MaxASW)/AC112)^AD112)</f>
        <v>0.9999899020503716</v>
      </c>
      <c r="AF112" s="24">
        <f t="shared" si="126"/>
        <v>0.6</v>
      </c>
      <c r="AG112" s="27">
        <f t="shared" si="186"/>
        <v>1</v>
      </c>
      <c r="AH112" s="27">
        <f t="shared" si="127"/>
        <v>1</v>
      </c>
      <c r="AI112" s="27">
        <f t="shared" si="128"/>
        <v>0.9903681575608356</v>
      </c>
      <c r="AJ112" s="24">
        <f t="shared" si="129"/>
        <v>0.6832727667913785</v>
      </c>
      <c r="AM112" s="27">
        <f t="shared" si="165"/>
        <v>528.3799839019775</v>
      </c>
      <c r="AN112" s="27">
        <f t="shared" si="130"/>
        <v>1</v>
      </c>
      <c r="AO112" s="27">
        <f t="shared" si="131"/>
        <v>0.8142273002664193</v>
      </c>
      <c r="AP112" s="27">
        <f t="shared" si="132"/>
        <v>430.22140780732127</v>
      </c>
      <c r="AQ112" s="27">
        <f t="shared" si="133"/>
        <v>0.03551489007474627</v>
      </c>
      <c r="AR112" s="27">
        <f t="shared" si="187"/>
        <v>1.9604219321259941</v>
      </c>
      <c r="AS112" s="27">
        <f t="shared" si="166"/>
        <v>1</v>
      </c>
      <c r="AT112" s="25">
        <f t="shared" si="167"/>
        <v>8.43415483535594</v>
      </c>
      <c r="AU112" s="25">
        <f t="shared" si="188"/>
        <v>3.9640527726172916</v>
      </c>
      <c r="AW112" s="25">
        <f t="shared" si="189"/>
        <v>0.6</v>
      </c>
      <c r="AX112" s="25">
        <f t="shared" si="134"/>
        <v>0.09245068765544333</v>
      </c>
      <c r="AY112" s="25">
        <f t="shared" si="190"/>
        <v>0.2555477012079012</v>
      </c>
      <c r="AZ112" s="25">
        <f t="shared" si="135"/>
        <v>0.6814516272490071</v>
      </c>
      <c r="BA112" s="25">
        <f t="shared" si="136"/>
        <v>0.06300067154309164</v>
      </c>
      <c r="BB112" s="25">
        <f t="shared" si="191"/>
        <v>0.2497379867071437</v>
      </c>
      <c r="BC112" s="25">
        <f t="shared" si="192"/>
        <v>1.013004573509156</v>
      </c>
      <c r="BD112" s="25">
        <f t="shared" si="193"/>
        <v>2.701310212400992</v>
      </c>
      <c r="BG112" s="76">
        <f t="shared" si="206"/>
        <v>32933</v>
      </c>
      <c r="BH112" s="30">
        <f t="shared" si="194"/>
        <v>31</v>
      </c>
      <c r="BI112" s="27">
        <f>'PSP-1 Metdata'!D113</f>
        <v>13.350000143051147</v>
      </c>
      <c r="BJ112" s="28">
        <f>'PSP-1 Metdata'!E113</f>
        <v>20.600000381469727</v>
      </c>
      <c r="BK112" s="28">
        <f>'PSP-1 Metdata'!F113</f>
        <v>6.099999904632568</v>
      </c>
      <c r="BL112" s="28">
        <f>'PSP-1 Metdata'!G113</f>
        <v>15.839999389648439</v>
      </c>
      <c r="BM112" s="28">
        <f>'PSP-1 Metdata'!I113</f>
        <v>17.04451560974121</v>
      </c>
      <c r="BN112" s="28">
        <f>'PSP-1 Metdata'!J113</f>
        <v>2</v>
      </c>
      <c r="BO112" s="28">
        <f>'PSP-1 Metdata'!K113</f>
        <v>0</v>
      </c>
      <c r="BP112" s="25">
        <f>'PSP-1 Metdata'!L113</f>
        <v>24.262791052280953</v>
      </c>
      <c r="BQ112" s="25">
        <f>'PSP-1 Metdata'!M113</f>
        <v>9.41548686221841</v>
      </c>
      <c r="BR112" s="25">
        <f>'PSP-1 Metdata'!N113</f>
        <v>7.423652095031271</v>
      </c>
      <c r="BT112" s="25">
        <f t="shared" si="169"/>
        <v>42434.28237611158</v>
      </c>
      <c r="BU112" s="25">
        <f t="shared" si="195"/>
        <v>231.33481996785576</v>
      </c>
      <c r="BV112" s="25">
        <f t="shared" si="196"/>
        <v>0.2</v>
      </c>
      <c r="BW112" s="25">
        <f t="shared" si="197"/>
        <v>2726.17885047582</v>
      </c>
      <c r="BX112" s="25">
        <f t="shared" si="198"/>
        <v>0.01366545533582757</v>
      </c>
      <c r="BY112" s="25">
        <f t="shared" si="137"/>
        <v>17.835443538836763</v>
      </c>
      <c r="BZ112" s="25">
        <f t="shared" si="138"/>
        <v>181.3868798586715</v>
      </c>
      <c r="CA112" s="27">
        <f t="shared" si="155"/>
        <v>3.128870763920607</v>
      </c>
      <c r="CB112" s="139">
        <f t="shared" si="170"/>
        <v>96.99499368153882</v>
      </c>
      <c r="CD112" s="27">
        <f>IF(CJ111&lt;'DadosReais&amp;Graficos'!MinASW,'DadosReais&amp;Graficos'!MinASW,IF(CJ111&gt;'DadosReais&amp;Graficos'!MaxASW,'DadosReais&amp;Graficos'!MaxASW,CJ111))</f>
        <v>176.79931000528597</v>
      </c>
      <c r="CE112" s="25">
        <f t="shared" si="199"/>
        <v>2.3759999084472656</v>
      </c>
      <c r="CG112" s="27">
        <f t="shared" si="200"/>
        <v>192.6393093949344</v>
      </c>
      <c r="CH112" s="27">
        <f t="shared" si="171"/>
        <v>99.37099358998609</v>
      </c>
      <c r="CI112" s="27">
        <f>MAX(CG112-CH112-'DadosReais&amp;Graficos'!MaxASW,0)</f>
        <v>0</v>
      </c>
      <c r="CJ112" s="27">
        <f t="shared" si="172"/>
        <v>93.26831580494832</v>
      </c>
      <c r="CK112" s="27">
        <f>poolFractn*Month!CI112</f>
        <v>0</v>
      </c>
      <c r="CQ112" s="25">
        <f>SIN(PI()*'DadosReais&amp;Graficos'!Lat/180)</f>
        <v>0.6293203910498374</v>
      </c>
      <c r="CR112" s="25">
        <f>COS(PI()*'DadosReais&amp;Graficos'!Lat/180)</f>
        <v>0.7771459614569709</v>
      </c>
      <c r="CS112" s="25">
        <f t="shared" si="139"/>
        <v>1990</v>
      </c>
      <c r="CT112" s="29">
        <f t="shared" si="175"/>
        <v>32874</v>
      </c>
      <c r="CU112" s="30">
        <f t="shared" si="173"/>
        <v>3</v>
      </c>
      <c r="CV112" s="27">
        <f t="shared" si="201"/>
        <v>75</v>
      </c>
      <c r="CW112" s="25">
        <f t="shared" si="176"/>
        <v>-0.03435761194480621</v>
      </c>
      <c r="CX112" s="25">
        <f t="shared" si="140"/>
        <v>0.027838681446559606</v>
      </c>
      <c r="CY112" s="25">
        <f t="shared" si="177"/>
        <v>0.49113752750129147</v>
      </c>
      <c r="CZ112" s="25">
        <f t="shared" si="178"/>
        <v>42434.28237611158</v>
      </c>
    </row>
    <row r="113" spans="1:104" ht="12.75">
      <c r="A113" s="149">
        <f t="shared" si="202"/>
        <v>32960</v>
      </c>
      <c r="B113" s="60">
        <f t="shared" si="141"/>
        <v>15</v>
      </c>
      <c r="C113" s="78">
        <f t="shared" si="142"/>
        <v>15.000000000000043</v>
      </c>
      <c r="D113" s="171">
        <f t="shared" si="160"/>
        <v>191316.80305773276</v>
      </c>
      <c r="E113" s="30">
        <f t="shared" si="179"/>
        <v>1111</v>
      </c>
      <c r="F113" s="27">
        <f t="shared" si="203"/>
        <v>8.55648493070836</v>
      </c>
      <c r="G113" s="27">
        <f t="shared" si="204"/>
        <v>37.05421235707096</v>
      </c>
      <c r="H113" s="27">
        <f t="shared" si="205"/>
        <v>181.36235122750597</v>
      </c>
      <c r="I113" s="27">
        <f t="shared" si="164"/>
        <v>189.91883615821433</v>
      </c>
      <c r="J113" s="27">
        <f t="shared" si="117"/>
        <v>226.97304851528529</v>
      </c>
      <c r="K113" s="27">
        <f t="shared" si="118"/>
        <v>4.000000000101863</v>
      </c>
      <c r="L113" s="27">
        <f t="shared" si="119"/>
        <v>3.4225939723705032</v>
      </c>
      <c r="M113" s="27">
        <f t="shared" si="120"/>
        <v>10.94139954645379</v>
      </c>
      <c r="O113" s="25">
        <f t="shared" si="180"/>
        <v>0.013</v>
      </c>
      <c r="P113" s="25">
        <f t="shared" si="121"/>
        <v>0.11123430409920866</v>
      </c>
      <c r="Q113" s="25">
        <f t="shared" si="122"/>
        <v>0.3705421235707096</v>
      </c>
      <c r="S113" s="27">
        <f t="shared" si="174"/>
        <v>163.24244034879027</v>
      </c>
      <c r="T113" s="27">
        <f t="shared" si="181"/>
        <v>19.103988249653252</v>
      </c>
      <c r="U113" s="27">
        <f t="shared" si="123"/>
        <v>0.15331456303681187</v>
      </c>
      <c r="V113" s="27">
        <f t="shared" si="124"/>
        <v>0.45</v>
      </c>
      <c r="W113" s="27">
        <f t="shared" si="182"/>
        <v>341.2374702171824</v>
      </c>
      <c r="X113" s="27">
        <f t="shared" si="183"/>
        <v>22.74916468114543</v>
      </c>
      <c r="Y113" s="27">
        <f t="shared" si="184"/>
        <v>31.845789856376932</v>
      </c>
      <c r="AA113" s="24">
        <f t="shared" si="185"/>
        <v>0.9513588898270573</v>
      </c>
      <c r="AB113" s="23">
        <f t="shared" si="125"/>
        <v>0.7749600156854938</v>
      </c>
      <c r="AC113" s="23">
        <f>IF('DadosReais&amp;Graficos'!soilClass&gt;0,0.8-0.1*'DadosReais&amp;Graficos'!soilClass,IF('DadosReais&amp;Graficos'!soilClass&lt;0,SWconst0,999))</f>
        <v>0.6000000000000001</v>
      </c>
      <c r="AD113" s="23">
        <f>IF('DadosReais&amp;Graficos'!soilClass&gt;0,11-2*'DadosReais&amp;Graficos'!soilClass,SWpower0)</f>
        <v>7</v>
      </c>
      <c r="AE113" s="24">
        <f>1/(1+((1-CD113/'DadosReais&amp;Graficos'!MaxASW)/AC113)^AD113)</f>
        <v>0.6942821410513197</v>
      </c>
      <c r="AF113" s="24">
        <f t="shared" si="126"/>
        <v>0.6</v>
      </c>
      <c r="AG113" s="27">
        <f t="shared" si="186"/>
        <v>1</v>
      </c>
      <c r="AH113" s="27">
        <f t="shared" si="127"/>
        <v>1</v>
      </c>
      <c r="AI113" s="27">
        <f t="shared" si="128"/>
        <v>0.9901532476807706</v>
      </c>
      <c r="AJ113" s="24">
        <f t="shared" si="129"/>
        <v>0.687445716768723</v>
      </c>
      <c r="AM113" s="27">
        <f t="shared" si="165"/>
        <v>612.5300216674805</v>
      </c>
      <c r="AN113" s="27">
        <f t="shared" si="130"/>
        <v>1</v>
      </c>
      <c r="AO113" s="27">
        <f t="shared" si="131"/>
        <v>0.8193686357592417</v>
      </c>
      <c r="AP113" s="27">
        <f t="shared" si="132"/>
        <v>501.8878882152622</v>
      </c>
      <c r="AQ113" s="27">
        <f t="shared" si="133"/>
        <v>0.03597041766568019</v>
      </c>
      <c r="AR113" s="27">
        <f t="shared" si="187"/>
        <v>1.9855670551455462</v>
      </c>
      <c r="AS113" s="27">
        <f t="shared" si="166"/>
        <v>1</v>
      </c>
      <c r="AT113" s="25">
        <f t="shared" si="167"/>
        <v>9.965320562167953</v>
      </c>
      <c r="AU113" s="25">
        <f t="shared" si="188"/>
        <v>4.683700664218938</v>
      </c>
      <c r="AW113" s="25">
        <f t="shared" si="189"/>
        <v>0.6</v>
      </c>
      <c r="AX113" s="25">
        <f t="shared" si="134"/>
        <v>0.09218301521105385</v>
      </c>
      <c r="AY113" s="25">
        <f t="shared" si="190"/>
        <v>0.2547869365205004</v>
      </c>
      <c r="AZ113" s="25">
        <f t="shared" si="135"/>
        <v>0.6823151917771714</v>
      </c>
      <c r="BA113" s="25">
        <f t="shared" si="136"/>
        <v>0.06289787170232819</v>
      </c>
      <c r="BB113" s="25">
        <f t="shared" si="191"/>
        <v>0.29459480347015204</v>
      </c>
      <c r="BC113" s="25">
        <f t="shared" si="192"/>
        <v>1.1933457438153758</v>
      </c>
      <c r="BD113" s="25">
        <f t="shared" si="193"/>
        <v>3.1957601169334096</v>
      </c>
      <c r="BG113" s="76">
        <f t="shared" si="206"/>
        <v>32964</v>
      </c>
      <c r="BH113" s="30">
        <f t="shared" si="194"/>
        <v>30</v>
      </c>
      <c r="BI113" s="27">
        <f>'PSP-1 Metdata'!D114</f>
        <v>13.5</v>
      </c>
      <c r="BJ113" s="28">
        <f>'PSP-1 Metdata'!E114</f>
        <v>18.5</v>
      </c>
      <c r="BK113" s="28">
        <f>'PSP-1 Metdata'!F114</f>
        <v>8.5</v>
      </c>
      <c r="BL113" s="28">
        <f>'PSP-1 Metdata'!G114</f>
        <v>82.72000122070312</v>
      </c>
      <c r="BM113" s="28">
        <f>'PSP-1 Metdata'!I114</f>
        <v>20.417667388916016</v>
      </c>
      <c r="BN113" s="28">
        <f>'PSP-1 Metdata'!J114</f>
        <v>11</v>
      </c>
      <c r="BO113" s="28">
        <f>'PSP-1 Metdata'!K114</f>
        <v>0</v>
      </c>
      <c r="BP113" s="25">
        <f>'PSP-1 Metdata'!L114</f>
        <v>21.295535465661136</v>
      </c>
      <c r="BQ113" s="25">
        <f>'PSP-1 Metdata'!M114</f>
        <v>11.097781720716483</v>
      </c>
      <c r="BR113" s="25">
        <f>'PSP-1 Metdata'!N114</f>
        <v>5.098876872472326</v>
      </c>
      <c r="BT113" s="25">
        <f t="shared" si="169"/>
        <v>46978.19870062779</v>
      </c>
      <c r="BU113" s="25">
        <f t="shared" si="195"/>
        <v>257.6960454619247</v>
      </c>
      <c r="BV113" s="25">
        <f t="shared" si="196"/>
        <v>0.2</v>
      </c>
      <c r="BW113" s="25">
        <f t="shared" si="197"/>
        <v>1872.4544352257653</v>
      </c>
      <c r="BX113" s="25">
        <f t="shared" si="198"/>
        <v>0.01374891433537446</v>
      </c>
      <c r="BY113" s="25">
        <f t="shared" si="137"/>
        <v>17.746603107812067</v>
      </c>
      <c r="BZ113" s="25">
        <f t="shared" si="138"/>
        <v>137.45648789362855</v>
      </c>
      <c r="CA113" s="27">
        <f t="shared" si="155"/>
        <v>2.6249830085192363</v>
      </c>
      <c r="CB113" s="139">
        <f t="shared" si="170"/>
        <v>78.74949025557709</v>
      </c>
      <c r="CD113" s="27">
        <f>IF(CJ112&lt;'DadosReais&amp;Graficos'!MinASW,'DadosReais&amp;Graficos'!MinASW,IF(CJ112&gt;'DadosReais&amp;Graficos'!MaxASW,'DadosReais&amp;Graficos'!MaxASW,CJ112))</f>
        <v>93.26831580494832</v>
      </c>
      <c r="CE113" s="25">
        <f t="shared" si="199"/>
        <v>12.408000183105468</v>
      </c>
      <c r="CG113" s="27">
        <f t="shared" si="200"/>
        <v>175.98831702565144</v>
      </c>
      <c r="CH113" s="27">
        <f t="shared" si="171"/>
        <v>91.15749043868256</v>
      </c>
      <c r="CI113" s="27">
        <f>MAX(CG113-CH113-'DadosReais&amp;Graficos'!MaxASW,0)</f>
        <v>0</v>
      </c>
      <c r="CJ113" s="27">
        <f t="shared" si="172"/>
        <v>84.83082658696888</v>
      </c>
      <c r="CK113" s="27">
        <f>poolFractn*Month!CI113</f>
        <v>0</v>
      </c>
      <c r="CQ113" s="25">
        <f>SIN(PI()*'DadosReais&amp;Graficos'!Lat/180)</f>
        <v>0.6293203910498374</v>
      </c>
      <c r="CR113" s="25">
        <f>COS(PI()*'DadosReais&amp;Graficos'!Lat/180)</f>
        <v>0.7771459614569709</v>
      </c>
      <c r="CS113" s="25">
        <f t="shared" si="139"/>
        <v>1990</v>
      </c>
      <c r="CT113" s="29">
        <f t="shared" si="175"/>
        <v>32874</v>
      </c>
      <c r="CU113" s="30">
        <f t="shared" si="173"/>
        <v>4</v>
      </c>
      <c r="CV113" s="27">
        <f t="shared" si="201"/>
        <v>105</v>
      </c>
      <c r="CW113" s="25">
        <f t="shared" si="176"/>
        <v>0.16674832097168432</v>
      </c>
      <c r="CX113" s="25">
        <f t="shared" si="140"/>
        <v>-0.13694746197546548</v>
      </c>
      <c r="CY113" s="25">
        <f t="shared" si="177"/>
        <v>0.5437291516276365</v>
      </c>
      <c r="CZ113" s="25">
        <f t="shared" si="178"/>
        <v>46978.19870062779</v>
      </c>
    </row>
    <row r="114" spans="1:104" ht="12.75">
      <c r="A114" s="149">
        <f t="shared" si="202"/>
        <v>32991</v>
      </c>
      <c r="B114" s="60">
        <f t="shared" si="141"/>
        <v>15.08</v>
      </c>
      <c r="C114" s="78">
        <f t="shared" si="142"/>
        <v>15.083333333333377</v>
      </c>
      <c r="D114" s="171">
        <f t="shared" si="160"/>
        <v>185953.77633234567</v>
      </c>
      <c r="E114" s="30">
        <f t="shared" si="179"/>
        <v>1111</v>
      </c>
      <c r="F114" s="27">
        <f t="shared" si="203"/>
        <v>8.739845430079303</v>
      </c>
      <c r="G114" s="27">
        <f t="shared" si="204"/>
        <v>37.87701597731563</v>
      </c>
      <c r="H114" s="27">
        <f t="shared" si="205"/>
        <v>184.55811134443937</v>
      </c>
      <c r="I114" s="27">
        <f t="shared" si="164"/>
        <v>193.29795677451867</v>
      </c>
      <c r="J114" s="27">
        <f t="shared" si="117"/>
        <v>231.1749727518343</v>
      </c>
      <c r="K114" s="27">
        <f t="shared" si="118"/>
        <v>4.000000000077138</v>
      </c>
      <c r="L114" s="27">
        <f t="shared" si="119"/>
        <v>3.4959381720991387</v>
      </c>
      <c r="M114" s="27">
        <f t="shared" si="120"/>
        <v>11.052633850552999</v>
      </c>
      <c r="O114" s="25">
        <f t="shared" si="180"/>
        <v>0.013</v>
      </c>
      <c r="P114" s="25">
        <f t="shared" si="121"/>
        <v>0.11361799059103093</v>
      </c>
      <c r="Q114" s="25">
        <f t="shared" si="122"/>
        <v>0.3787701597731563</v>
      </c>
      <c r="S114" s="27">
        <f t="shared" si="174"/>
        <v>166.11891210120555</v>
      </c>
      <c r="T114" s="27">
        <f t="shared" si="181"/>
        <v>19.227695460940254</v>
      </c>
      <c r="U114" s="27">
        <f t="shared" si="123"/>
        <v>0.15322020386122984</v>
      </c>
      <c r="V114" s="27">
        <f t="shared" si="124"/>
        <v>0.45</v>
      </c>
      <c r="W114" s="27">
        <f t="shared" si="182"/>
        <v>347.2890664444463</v>
      </c>
      <c r="X114" s="27">
        <f t="shared" si="183"/>
        <v>23.024689488029523</v>
      </c>
      <c r="Y114" s="27">
        <f t="shared" si="184"/>
        <v>32.25955781149487</v>
      </c>
      <c r="AA114" s="24">
        <f t="shared" si="185"/>
        <v>0.9762958476741773</v>
      </c>
      <c r="AB114" s="23">
        <f t="shared" si="125"/>
        <v>0.6348885203020936</v>
      </c>
      <c r="AC114" s="23">
        <f>IF('DadosReais&amp;Graficos'!soilClass&gt;0,0.8-0.1*'DadosReais&amp;Graficos'!soilClass,IF('DadosReais&amp;Graficos'!soilClass&lt;0,SWconst0,999))</f>
        <v>0.6000000000000001</v>
      </c>
      <c r="AD114" s="23">
        <f>IF('DadosReais&amp;Graficos'!soilClass&gt;0,11-2*'DadosReais&amp;Graficos'!soilClass,SWpower0)</f>
        <v>7</v>
      </c>
      <c r="AE114" s="24">
        <f>1/(1+((1-CD114/'DadosReais&amp;Graficos'!MaxASW)/AC114)^AD114)</f>
        <v>0.5714151713335365</v>
      </c>
      <c r="AF114" s="24">
        <f t="shared" si="126"/>
        <v>0.6</v>
      </c>
      <c r="AG114" s="27">
        <f t="shared" si="186"/>
        <v>1</v>
      </c>
      <c r="AH114" s="27">
        <f t="shared" si="127"/>
        <v>1</v>
      </c>
      <c r="AI114" s="27">
        <f t="shared" si="128"/>
        <v>0.98993482157789</v>
      </c>
      <c r="AJ114" s="24">
        <f t="shared" si="129"/>
        <v>0.5656637756809639</v>
      </c>
      <c r="AM114" s="27">
        <f t="shared" si="165"/>
        <v>827.8900012969971</v>
      </c>
      <c r="AN114" s="27">
        <f t="shared" si="130"/>
        <v>1</v>
      </c>
      <c r="AO114" s="27">
        <f t="shared" si="131"/>
        <v>0.8258727780058467</v>
      </c>
      <c r="AP114" s="27">
        <f t="shared" si="132"/>
        <v>683.731815254415</v>
      </c>
      <c r="AQ114" s="27">
        <f t="shared" si="133"/>
        <v>0.03037403574573623</v>
      </c>
      <c r="AR114" s="27">
        <f t="shared" si="187"/>
        <v>1.6766467731646397</v>
      </c>
      <c r="AS114" s="27">
        <f t="shared" si="166"/>
        <v>0.7948277693845507</v>
      </c>
      <c r="AT114" s="25">
        <f t="shared" si="167"/>
        <v>9.111720685245022</v>
      </c>
      <c r="AU114" s="25">
        <f t="shared" si="188"/>
        <v>4.28250872206516</v>
      </c>
      <c r="AW114" s="25">
        <f t="shared" si="189"/>
        <v>0.6</v>
      </c>
      <c r="AX114" s="25">
        <f t="shared" si="134"/>
        <v>0.09187242492895971</v>
      </c>
      <c r="AY114" s="25">
        <f t="shared" si="190"/>
        <v>0.27902886789083753</v>
      </c>
      <c r="AZ114" s="25">
        <f t="shared" si="135"/>
        <v>0.6603071161505621</v>
      </c>
      <c r="BA114" s="25">
        <f t="shared" si="136"/>
        <v>0.06066401595860038</v>
      </c>
      <c r="BB114" s="25">
        <f t="shared" si="191"/>
        <v>0.25979417745820615</v>
      </c>
      <c r="BC114" s="25">
        <f t="shared" si="192"/>
        <v>1.1949435604504788</v>
      </c>
      <c r="BD114" s="25">
        <f t="shared" si="193"/>
        <v>2.8277709841564747</v>
      </c>
      <c r="BG114" s="76">
        <f t="shared" si="206"/>
        <v>32994</v>
      </c>
      <c r="BH114" s="30">
        <f t="shared" si="194"/>
        <v>31</v>
      </c>
      <c r="BI114" s="27">
        <f>'PSP-1 Metdata'!D115</f>
        <v>17.899999618530273</v>
      </c>
      <c r="BJ114" s="28">
        <f>'PSP-1 Metdata'!E115</f>
        <v>24.799999237060547</v>
      </c>
      <c r="BK114" s="28">
        <f>'PSP-1 Metdata'!F115</f>
        <v>11</v>
      </c>
      <c r="BL114" s="28">
        <f>'PSP-1 Metdata'!G115</f>
        <v>16.560000610351562</v>
      </c>
      <c r="BM114" s="28">
        <f>'PSP-1 Metdata'!I115</f>
        <v>26.70612907409668</v>
      </c>
      <c r="BN114" s="28">
        <f>'PSP-1 Metdata'!J115</f>
        <v>3</v>
      </c>
      <c r="BO114" s="28">
        <f>'PSP-1 Metdata'!K115</f>
        <v>0</v>
      </c>
      <c r="BP114" s="25">
        <f>'PSP-1 Metdata'!L115</f>
        <v>31.298364203109077</v>
      </c>
      <c r="BQ114" s="25">
        <f>'PSP-1 Metdata'!M115</f>
        <v>13.126130039867608</v>
      </c>
      <c r="BR114" s="25">
        <f>'PSP-1 Metdata'!N115</f>
        <v>9.086117081620735</v>
      </c>
      <c r="BT114" s="25">
        <f t="shared" si="169"/>
        <v>51049.507507765746</v>
      </c>
      <c r="BU114" s="25">
        <f t="shared" si="195"/>
        <v>328.5134059525897</v>
      </c>
      <c r="BV114" s="25">
        <f t="shared" si="196"/>
        <v>0.2</v>
      </c>
      <c r="BW114" s="25">
        <f t="shared" si="197"/>
        <v>3336.683872543085</v>
      </c>
      <c r="BX114" s="25">
        <f t="shared" si="198"/>
        <v>0.011313275513619278</v>
      </c>
      <c r="BY114" s="25">
        <f t="shared" si="137"/>
        <v>20.87834609519</v>
      </c>
      <c r="BZ114" s="25">
        <f t="shared" si="138"/>
        <v>194.43174986806062</v>
      </c>
      <c r="CA114" s="27">
        <f t="shared" si="155"/>
        <v>4.0348150709908905</v>
      </c>
      <c r="CB114" s="139">
        <f t="shared" si="170"/>
        <v>125.07926720071761</v>
      </c>
      <c r="CD114" s="27">
        <f>IF(CJ113&lt;'DadosReais&amp;Graficos'!MinASW,'DadosReais&amp;Graficos'!MinASW,IF(CJ113&gt;'DadosReais&amp;Graficos'!MaxASW,'DadosReais&amp;Graficos'!MaxASW,CJ113))</f>
        <v>84.83082658696888</v>
      </c>
      <c r="CE114" s="25">
        <f t="shared" si="199"/>
        <v>2.4840000915527343</v>
      </c>
      <c r="CG114" s="27">
        <f t="shared" si="200"/>
        <v>101.39082719732045</v>
      </c>
      <c r="CH114" s="27">
        <f t="shared" si="171"/>
        <v>101.39082719732045</v>
      </c>
      <c r="CI114" s="27">
        <f>MAX(CG114-CH114-'DadosReais&amp;Graficos'!MaxASW,0)</f>
        <v>0</v>
      </c>
      <c r="CJ114" s="27">
        <f t="shared" si="172"/>
        <v>0</v>
      </c>
      <c r="CK114" s="27">
        <f>poolFractn*Month!CI114</f>
        <v>0</v>
      </c>
      <c r="CQ114" s="25">
        <f>SIN(PI()*'DadosReais&amp;Graficos'!Lat/180)</f>
        <v>0.6293203910498374</v>
      </c>
      <c r="CR114" s="25">
        <f>COS(PI()*'DadosReais&amp;Graficos'!Lat/180)</f>
        <v>0.7771459614569709</v>
      </c>
      <c r="CS114" s="25">
        <f t="shared" si="139"/>
        <v>1990</v>
      </c>
      <c r="CT114" s="29">
        <f t="shared" si="175"/>
        <v>32874</v>
      </c>
      <c r="CU114" s="30">
        <f t="shared" si="173"/>
        <v>5</v>
      </c>
      <c r="CV114" s="27">
        <f t="shared" si="201"/>
        <v>136</v>
      </c>
      <c r="CW114" s="25">
        <f t="shared" si="176"/>
        <v>0.328409053946799</v>
      </c>
      <c r="CX114" s="25">
        <f t="shared" si="140"/>
        <v>-0.2815567874772962</v>
      </c>
      <c r="CY114" s="25">
        <f t="shared" si="177"/>
        <v>0.5908507813398813</v>
      </c>
      <c r="CZ114" s="25">
        <f t="shared" si="178"/>
        <v>51049.507507765746</v>
      </c>
    </row>
    <row r="115" spans="1:104" ht="12.75">
      <c r="A115" s="149">
        <f t="shared" si="202"/>
        <v>33021</v>
      </c>
      <c r="B115" s="60">
        <f t="shared" si="141"/>
        <v>15.17</v>
      </c>
      <c r="C115" s="78">
        <f t="shared" si="142"/>
        <v>15.16666666666671</v>
      </c>
      <c r="D115" s="171">
        <f t="shared" si="160"/>
        <v>181325.16308616486</v>
      </c>
      <c r="E115" s="30">
        <f t="shared" si="179"/>
        <v>1111</v>
      </c>
      <c r="F115" s="27">
        <f t="shared" si="203"/>
        <v>8.886021616946477</v>
      </c>
      <c r="G115" s="27">
        <f t="shared" si="204"/>
        <v>38.69318937799295</v>
      </c>
      <c r="H115" s="27">
        <f t="shared" si="205"/>
        <v>187.38588232859584</v>
      </c>
      <c r="I115" s="27">
        <f t="shared" si="164"/>
        <v>196.2719039455423</v>
      </c>
      <c r="J115" s="27">
        <f t="shared" si="117"/>
        <v>234.96509332353526</v>
      </c>
      <c r="K115" s="27">
        <f t="shared" si="118"/>
        <v>4.000000000058325</v>
      </c>
      <c r="L115" s="27">
        <f t="shared" si="119"/>
        <v>3.5544086468304186</v>
      </c>
      <c r="M115" s="27">
        <f t="shared" si="120"/>
        <v>11.16625184114403</v>
      </c>
      <c r="O115" s="25">
        <f t="shared" si="180"/>
        <v>0.013</v>
      </c>
      <c r="P115" s="25">
        <f t="shared" si="121"/>
        <v>0.1155182810203042</v>
      </c>
      <c r="Q115" s="25">
        <f t="shared" si="122"/>
        <v>0.38693189377992954</v>
      </c>
      <c r="S115" s="27">
        <f t="shared" si="174"/>
        <v>168.66416051178743</v>
      </c>
      <c r="T115" s="27">
        <f t="shared" si="181"/>
        <v>19.336036519651028</v>
      </c>
      <c r="U115" s="27">
        <f t="shared" si="123"/>
        <v>0.15312853090821096</v>
      </c>
      <c r="V115" s="27">
        <f t="shared" si="124"/>
        <v>0.45</v>
      </c>
      <c r="W115" s="27">
        <f t="shared" si="182"/>
        <v>352.6483498992868</v>
      </c>
      <c r="X115" s="27">
        <f t="shared" si="183"/>
        <v>23.251539553799063</v>
      </c>
      <c r="Y115" s="27">
        <f t="shared" si="184"/>
        <v>32.62412373437466</v>
      </c>
      <c r="AA115" s="24">
        <f t="shared" si="185"/>
        <v>0.9417707417057263</v>
      </c>
      <c r="AB115" s="23">
        <f t="shared" si="125"/>
        <v>0.6795400660201841</v>
      </c>
      <c r="AC115" s="23">
        <f>IF('DadosReais&amp;Graficos'!soilClass&gt;0,0.8-0.1*'DadosReais&amp;Graficos'!soilClass,IF('DadosReais&amp;Graficos'!soilClass&lt;0,SWconst0,999))</f>
        <v>0.6000000000000001</v>
      </c>
      <c r="AD115" s="23">
        <f>IF('DadosReais&amp;Graficos'!soilClass&gt;0,11-2*'DadosReais&amp;Graficos'!soilClass,SWpower0)</f>
        <v>7</v>
      </c>
      <c r="AE115" s="24">
        <f>1/(1+((1-CD115/'DadosReais&amp;Graficos'!MaxASW)/AC115)^AD115)</f>
        <v>0.027231297938041656</v>
      </c>
      <c r="AF115" s="24">
        <f t="shared" si="126"/>
        <v>0.6</v>
      </c>
      <c r="AG115" s="27">
        <f t="shared" si="186"/>
        <v>1</v>
      </c>
      <c r="AH115" s="27">
        <f t="shared" si="127"/>
        <v>1</v>
      </c>
      <c r="AI115" s="27">
        <f t="shared" si="128"/>
        <v>0.9897128437691254</v>
      </c>
      <c r="AJ115" s="24">
        <f t="shared" si="129"/>
        <v>0.02695116532178353</v>
      </c>
      <c r="AM115" s="27">
        <f t="shared" si="165"/>
        <v>778.589973449707</v>
      </c>
      <c r="AN115" s="27">
        <f t="shared" si="130"/>
        <v>1</v>
      </c>
      <c r="AO115" s="27">
        <f t="shared" si="131"/>
        <v>0.8308897353755629</v>
      </c>
      <c r="AP115" s="27">
        <f t="shared" si="132"/>
        <v>646.9224170056935</v>
      </c>
      <c r="AQ115" s="27">
        <f t="shared" si="133"/>
        <v>0.0013960000425211347</v>
      </c>
      <c r="AR115" s="27">
        <f t="shared" si="187"/>
        <v>0.07705920234716664</v>
      </c>
      <c r="AS115" s="27">
        <f t="shared" si="166"/>
        <v>0.5791723709162515</v>
      </c>
      <c r="AT115" s="25">
        <f t="shared" si="167"/>
        <v>0.2887251034548333</v>
      </c>
      <c r="AU115" s="25">
        <f t="shared" si="188"/>
        <v>0.13570079862377166</v>
      </c>
      <c r="AW115" s="25">
        <f t="shared" si="189"/>
        <v>0.6</v>
      </c>
      <c r="AX115" s="25">
        <f t="shared" si="134"/>
        <v>0.09160290336913252</v>
      </c>
      <c r="AY115" s="25">
        <f t="shared" si="190"/>
        <v>0.481820140050199</v>
      </c>
      <c r="AZ115" s="25">
        <f t="shared" si="135"/>
        <v>0.4746963005965688</v>
      </c>
      <c r="BA115" s="25">
        <f t="shared" si="136"/>
        <v>0.04348355935323217</v>
      </c>
      <c r="BB115" s="25">
        <f t="shared" si="191"/>
        <v>0.005900753731237781</v>
      </c>
      <c r="BC115" s="25">
        <f t="shared" si="192"/>
        <v>0.06538337779782952</v>
      </c>
      <c r="BD115" s="25">
        <f t="shared" si="193"/>
        <v>0.06441666709470437</v>
      </c>
      <c r="BG115" s="76">
        <f t="shared" si="206"/>
        <v>33025</v>
      </c>
      <c r="BH115" s="30">
        <f t="shared" si="194"/>
        <v>30</v>
      </c>
      <c r="BI115" s="27">
        <f>'PSP-1 Metdata'!D116</f>
        <v>19.050000190734863</v>
      </c>
      <c r="BJ115" s="28">
        <f>'PSP-1 Metdata'!E116</f>
        <v>24.600000381469727</v>
      </c>
      <c r="BK115" s="28">
        <f>'PSP-1 Metdata'!F116</f>
        <v>13.5</v>
      </c>
      <c r="BL115" s="28">
        <f>'PSP-1 Metdata'!G116</f>
        <v>3.8400001525878906</v>
      </c>
      <c r="BM115" s="28">
        <f>'PSP-1 Metdata'!I116</f>
        <v>25.952999114990234</v>
      </c>
      <c r="BN115" s="28">
        <f>'PSP-1 Metdata'!J116</f>
        <v>2</v>
      </c>
      <c r="BO115" s="28">
        <f>'PSP-1 Metdata'!K116</f>
        <v>0</v>
      </c>
      <c r="BP115" s="25">
        <f>'PSP-1 Metdata'!L116</f>
        <v>30.926896135105537</v>
      </c>
      <c r="BQ115" s="25">
        <f>'PSP-1 Metdata'!M116</f>
        <v>15.47333280888696</v>
      </c>
      <c r="BR115" s="25">
        <f>'PSP-1 Metdata'!N116</f>
        <v>7.726781663109288</v>
      </c>
      <c r="BT115" s="25">
        <f t="shared" si="169"/>
        <v>53082.57808162483</v>
      </c>
      <c r="BU115" s="25">
        <f t="shared" si="195"/>
        <v>301.13396602678085</v>
      </c>
      <c r="BV115" s="25">
        <f t="shared" si="196"/>
        <v>0.2</v>
      </c>
      <c r="BW115" s="25">
        <f t="shared" si="197"/>
        <v>2837.4967580056286</v>
      </c>
      <c r="BX115" s="25">
        <f t="shared" si="198"/>
        <v>0.0005390233064356706</v>
      </c>
      <c r="BY115" s="25">
        <f t="shared" si="137"/>
        <v>374.24147002940197</v>
      </c>
      <c r="BZ115" s="25">
        <f t="shared" si="138"/>
        <v>9.352227808931952</v>
      </c>
      <c r="CA115" s="27">
        <f t="shared" si="155"/>
        <v>0.2018050255710461</v>
      </c>
      <c r="CB115" s="139">
        <f t="shared" si="170"/>
        <v>6.054150767131383</v>
      </c>
      <c r="CD115" s="27">
        <f>IF(CJ114&lt;'DadosReais&amp;Graficos'!MinASW,'DadosReais&amp;Graficos'!MinASW,IF(CJ114&gt;'DadosReais&amp;Graficos'!MaxASW,'DadosReais&amp;Graficos'!MaxASW,CJ114))</f>
        <v>0</v>
      </c>
      <c r="CE115" s="25">
        <f t="shared" si="199"/>
        <v>0.5760000228881835</v>
      </c>
      <c r="CG115" s="27">
        <f t="shared" si="200"/>
        <v>3.8400001525878906</v>
      </c>
      <c r="CH115" s="27">
        <f t="shared" si="171"/>
        <v>3.8400001525878906</v>
      </c>
      <c r="CI115" s="27">
        <f>MAX(CG115-CH115-'DadosReais&amp;Graficos'!MaxASW,0)</f>
        <v>0</v>
      </c>
      <c r="CJ115" s="27">
        <f t="shared" si="172"/>
        <v>0</v>
      </c>
      <c r="CK115" s="27">
        <f>poolFractn*Month!CI115</f>
        <v>0</v>
      </c>
      <c r="CQ115" s="25">
        <f>SIN(PI()*'DadosReais&amp;Graficos'!Lat/180)</f>
        <v>0.6293203910498374</v>
      </c>
      <c r="CR115" s="25">
        <f>COS(PI()*'DadosReais&amp;Graficos'!Lat/180)</f>
        <v>0.7771459614569709</v>
      </c>
      <c r="CS115" s="25">
        <f t="shared" si="139"/>
        <v>1990</v>
      </c>
      <c r="CT115" s="29">
        <f t="shared" si="175"/>
        <v>32874</v>
      </c>
      <c r="CU115" s="30">
        <f t="shared" si="173"/>
        <v>6</v>
      </c>
      <c r="CV115" s="27">
        <f t="shared" si="201"/>
        <v>166</v>
      </c>
      <c r="CW115" s="25">
        <f t="shared" si="176"/>
        <v>0.3983231954255811</v>
      </c>
      <c r="CX115" s="25">
        <f t="shared" si="140"/>
        <v>-0.3516571006926921</v>
      </c>
      <c r="CY115" s="25">
        <f t="shared" si="177"/>
        <v>0.6143816907595466</v>
      </c>
      <c r="CZ115" s="25">
        <f t="shared" si="178"/>
        <v>53082.57808162483</v>
      </c>
    </row>
    <row r="116" spans="1:104" ht="12.75">
      <c r="A116" s="149">
        <f t="shared" si="202"/>
        <v>33052</v>
      </c>
      <c r="B116" s="60">
        <f t="shared" si="141"/>
        <v>15.25</v>
      </c>
      <c r="C116" s="78">
        <f t="shared" si="142"/>
        <v>15.250000000000044</v>
      </c>
      <c r="D116" s="171">
        <f t="shared" si="160"/>
        <v>181764.72579405442</v>
      </c>
      <c r="E116" s="30">
        <f t="shared" si="179"/>
        <v>1111</v>
      </c>
      <c r="F116" s="27">
        <f t="shared" si="203"/>
        <v>8.776404089657412</v>
      </c>
      <c r="G116" s="27">
        <f t="shared" si="204"/>
        <v>38.37164086201085</v>
      </c>
      <c r="H116" s="27">
        <f t="shared" si="205"/>
        <v>187.45029899569053</v>
      </c>
      <c r="I116" s="27">
        <f t="shared" si="164"/>
        <v>196.22670308534794</v>
      </c>
      <c r="J116" s="27">
        <f t="shared" si="117"/>
        <v>234.59834394735879</v>
      </c>
      <c r="K116" s="27">
        <f t="shared" si="118"/>
        <v>4.000000000044032</v>
      </c>
      <c r="L116" s="27">
        <f t="shared" si="119"/>
        <v>3.5105616359016096</v>
      </c>
      <c r="M116" s="27">
        <f t="shared" si="120"/>
        <v>11.281770122164334</v>
      </c>
      <c r="O116" s="25">
        <f t="shared" si="180"/>
        <v>0.013</v>
      </c>
      <c r="P116" s="25">
        <f t="shared" si="121"/>
        <v>0.11409325316554635</v>
      </c>
      <c r="Q116" s="25">
        <f t="shared" si="122"/>
        <v>0.38371640862010853</v>
      </c>
      <c r="S116" s="27">
        <f t="shared" si="174"/>
        <v>168.7221413102525</v>
      </c>
      <c r="T116" s="27">
        <f t="shared" si="181"/>
        <v>19.338492483067046</v>
      </c>
      <c r="U116" s="27">
        <f t="shared" si="123"/>
        <v>0.15303946770621324</v>
      </c>
      <c r="V116" s="27">
        <f t="shared" si="124"/>
        <v>0.45</v>
      </c>
      <c r="W116" s="27">
        <f t="shared" si="182"/>
        <v>352.8066778133768</v>
      </c>
      <c r="X116" s="27">
        <f t="shared" si="183"/>
        <v>23.134864118909885</v>
      </c>
      <c r="Y116" s="27">
        <f t="shared" si="184"/>
        <v>32.632411755835115</v>
      </c>
      <c r="AA116" s="24">
        <f t="shared" si="185"/>
        <v>0.8078276631441699</v>
      </c>
      <c r="AB116" s="23">
        <f t="shared" si="125"/>
        <v>0.5789448860408181</v>
      </c>
      <c r="AC116" s="23">
        <f>IF('DadosReais&amp;Graficos'!soilClass&gt;0,0.8-0.1*'DadosReais&amp;Graficos'!soilClass,IF('DadosReais&amp;Graficos'!soilClass&lt;0,SWconst0,999))</f>
        <v>0.6000000000000001</v>
      </c>
      <c r="AD116" s="23">
        <f>IF('DadosReais&amp;Graficos'!soilClass&gt;0,11-2*'DadosReais&amp;Graficos'!soilClass,SWpower0)</f>
        <v>7</v>
      </c>
      <c r="AE116" s="24">
        <f>1/(1+((1-CD116/'DadosReais&amp;Graficos'!MaxASW)/AC116)^AD116)</f>
        <v>0.027231297938041656</v>
      </c>
      <c r="AF116" s="24">
        <f t="shared" si="126"/>
        <v>0.6</v>
      </c>
      <c r="AG116" s="27">
        <f t="shared" si="186"/>
        <v>1</v>
      </c>
      <c r="AH116" s="27">
        <f t="shared" si="127"/>
        <v>1</v>
      </c>
      <c r="AI116" s="27">
        <f t="shared" si="128"/>
        <v>0.9894872786946622</v>
      </c>
      <c r="AJ116" s="24">
        <f t="shared" si="129"/>
        <v>0.026945022892036406</v>
      </c>
      <c r="AM116" s="27">
        <f t="shared" si="165"/>
        <v>844.8399925231934</v>
      </c>
      <c r="AN116" s="27">
        <f t="shared" si="130"/>
        <v>1</v>
      </c>
      <c r="AO116" s="27">
        <f t="shared" si="131"/>
        <v>0.8271413063487594</v>
      </c>
      <c r="AP116" s="27">
        <f t="shared" si="132"/>
        <v>698.8020550713103</v>
      </c>
      <c r="AQ116" s="27">
        <f t="shared" si="133"/>
        <v>0.0011971814181931963</v>
      </c>
      <c r="AR116" s="27">
        <f t="shared" si="187"/>
        <v>0.06608441428426443</v>
      </c>
      <c r="AS116" s="27">
        <f t="shared" si="166"/>
        <v>1</v>
      </c>
      <c r="AT116" s="25">
        <f t="shared" si="167"/>
        <v>0.4617992451002783</v>
      </c>
      <c r="AU116" s="25">
        <f t="shared" si="188"/>
        <v>0.2170456451971308</v>
      </c>
      <c r="AW116" s="25">
        <f t="shared" si="189"/>
        <v>0.6</v>
      </c>
      <c r="AX116" s="25">
        <f t="shared" si="134"/>
        <v>0.09159682030124884</v>
      </c>
      <c r="AY116" s="25">
        <f t="shared" si="190"/>
        <v>0.48182413279660385</v>
      </c>
      <c r="AZ116" s="25">
        <f t="shared" si="135"/>
        <v>0.47469528819293805</v>
      </c>
      <c r="BA116" s="25">
        <f t="shared" si="136"/>
        <v>0.0434805790104581</v>
      </c>
      <c r="BB116" s="25">
        <f t="shared" si="191"/>
        <v>0.0094372703248697</v>
      </c>
      <c r="BC116" s="25">
        <f t="shared" si="192"/>
        <v>0.10457782977438691</v>
      </c>
      <c r="BD116" s="25">
        <f t="shared" si="193"/>
        <v>0.10303054509787418</v>
      </c>
      <c r="BG116" s="76">
        <f t="shared" si="206"/>
        <v>33055</v>
      </c>
      <c r="BH116" s="30">
        <f t="shared" si="194"/>
        <v>31</v>
      </c>
      <c r="BI116" s="27">
        <f>'PSP-1 Metdata'!D117</f>
        <v>21.90000009536743</v>
      </c>
      <c r="BJ116" s="28">
        <f>'PSP-1 Metdata'!E117</f>
        <v>28.600000381469727</v>
      </c>
      <c r="BK116" s="28">
        <f>'PSP-1 Metdata'!F117</f>
        <v>15.199999809265137</v>
      </c>
      <c r="BL116" s="28">
        <f>'PSP-1 Metdata'!G117</f>
        <v>10.4</v>
      </c>
      <c r="BM116" s="28">
        <f>'PSP-1 Metdata'!I117</f>
        <v>27.25290298461914</v>
      </c>
      <c r="BN116" s="28">
        <f>'PSP-1 Metdata'!J117</f>
        <v>1</v>
      </c>
      <c r="BO116" s="28">
        <f>'PSP-1 Metdata'!K117</f>
        <v>0</v>
      </c>
      <c r="BP116" s="25">
        <f>'PSP-1 Metdata'!L117</f>
        <v>39.1346027369795</v>
      </c>
      <c r="BQ116" s="25">
        <f>'PSP-1 Metdata'!M117</f>
        <v>17.272682971981894</v>
      </c>
      <c r="BR116" s="25">
        <f>'PSP-1 Metdata'!N117</f>
        <v>10.930959882498804</v>
      </c>
      <c r="BT116" s="25">
        <f t="shared" si="169"/>
        <v>51987.026278968784</v>
      </c>
      <c r="BU116" s="25">
        <f t="shared" si="195"/>
        <v>329.3800636085889</v>
      </c>
      <c r="BV116" s="25">
        <f t="shared" si="196"/>
        <v>0.2</v>
      </c>
      <c r="BW116" s="25">
        <f t="shared" si="197"/>
        <v>4014.1632804981778</v>
      </c>
      <c r="BX116" s="25">
        <f t="shared" si="198"/>
        <v>0.0005389004578407281</v>
      </c>
      <c r="BY116" s="25">
        <f t="shared" si="137"/>
        <v>374.32605322578877</v>
      </c>
      <c r="BZ116" s="25">
        <f t="shared" si="138"/>
        <v>12.65955008902009</v>
      </c>
      <c r="CA116" s="27">
        <f t="shared" si="155"/>
        <v>0.26753348095845897</v>
      </c>
      <c r="CB116" s="139">
        <f t="shared" si="170"/>
        <v>8.293537909712228</v>
      </c>
      <c r="CD116" s="27">
        <f>IF(CJ115&lt;'DadosReais&amp;Graficos'!MinASW,'DadosReais&amp;Graficos'!MinASW,IF(CJ115&gt;'DadosReais&amp;Graficos'!MaxASW,'DadosReais&amp;Graficos'!MaxASW,CJ115))</f>
        <v>0</v>
      </c>
      <c r="CE116" s="25">
        <f t="shared" si="199"/>
        <v>1.56</v>
      </c>
      <c r="CG116" s="27">
        <f t="shared" si="200"/>
        <v>10.4</v>
      </c>
      <c r="CH116" s="27">
        <f t="shared" si="171"/>
        <v>9.853537909712228</v>
      </c>
      <c r="CI116" s="27">
        <f>MAX(CG116-CH116-'DadosReais&amp;Graficos'!MaxASW,0)</f>
        <v>0</v>
      </c>
      <c r="CJ116" s="27">
        <f t="shared" si="172"/>
        <v>0.5464620902877719</v>
      </c>
      <c r="CK116" s="27">
        <f>poolFractn*Month!CI116</f>
        <v>0</v>
      </c>
      <c r="CQ116" s="25">
        <f>SIN(PI()*'DadosReais&amp;Graficos'!Lat/180)</f>
        <v>0.6293203910498374</v>
      </c>
      <c r="CR116" s="25">
        <f>COS(PI()*'DadosReais&amp;Graficos'!Lat/180)</f>
        <v>0.7771459614569709</v>
      </c>
      <c r="CS116" s="25">
        <f t="shared" si="139"/>
        <v>1990</v>
      </c>
      <c r="CT116" s="29">
        <f t="shared" si="175"/>
        <v>32874</v>
      </c>
      <c r="CU116" s="30">
        <f t="shared" si="173"/>
        <v>7</v>
      </c>
      <c r="CV116" s="27">
        <f t="shared" si="201"/>
        <v>197</v>
      </c>
      <c r="CW116" s="25">
        <f t="shared" si="176"/>
        <v>0.3616269729601193</v>
      </c>
      <c r="CX116" s="25">
        <f t="shared" si="140"/>
        <v>-0.3140969275246581</v>
      </c>
      <c r="CY116" s="25">
        <f t="shared" si="177"/>
        <v>0.6017016930436202</v>
      </c>
      <c r="CZ116" s="25">
        <f t="shared" si="178"/>
        <v>51987.026278968784</v>
      </c>
    </row>
    <row r="117" spans="1:104" ht="12.75">
      <c r="A117" s="149">
        <f t="shared" si="202"/>
        <v>33082</v>
      </c>
      <c r="B117" s="60">
        <f t="shared" si="141"/>
        <v>15.33</v>
      </c>
      <c r="C117" s="78">
        <f t="shared" si="142"/>
        <v>15.333333333333378</v>
      </c>
      <c r="D117" s="171">
        <f t="shared" si="160"/>
        <v>182102.41791879563</v>
      </c>
      <c r="E117" s="30">
        <f t="shared" si="179"/>
        <v>1111</v>
      </c>
      <c r="F117" s="27">
        <f t="shared" si="203"/>
        <v>8.671748106816736</v>
      </c>
      <c r="G117" s="27">
        <f t="shared" si="204"/>
        <v>38.092502283165125</v>
      </c>
      <c r="H117" s="27">
        <f t="shared" si="205"/>
        <v>187.5533295407884</v>
      </c>
      <c r="I117" s="27">
        <f t="shared" si="164"/>
        <v>196.22507764760513</v>
      </c>
      <c r="J117" s="27">
        <f t="shared" si="117"/>
        <v>234.31757993077028</v>
      </c>
      <c r="K117" s="27">
        <f t="shared" si="118"/>
        <v>4.000000000033191</v>
      </c>
      <c r="L117" s="27">
        <f t="shared" si="119"/>
        <v>3.4686992427554775</v>
      </c>
      <c r="M117" s="27">
        <f t="shared" si="120"/>
        <v>11.39586337532988</v>
      </c>
      <c r="O117" s="25">
        <f t="shared" si="180"/>
        <v>0.013</v>
      </c>
      <c r="P117" s="25">
        <f t="shared" si="121"/>
        <v>0.11273272538861756</v>
      </c>
      <c r="Q117" s="25">
        <f t="shared" si="122"/>
        <v>0.38092502283165125</v>
      </c>
      <c r="S117" s="27">
        <f t="shared" si="174"/>
        <v>168.81487807451703</v>
      </c>
      <c r="T117" s="27">
        <f t="shared" si="181"/>
        <v>19.342419541402656</v>
      </c>
      <c r="U117" s="27">
        <f t="shared" si="123"/>
        <v>0.15295293996069106</v>
      </c>
      <c r="V117" s="27">
        <f t="shared" si="124"/>
        <v>0.45</v>
      </c>
      <c r="W117" s="27">
        <f t="shared" si="182"/>
        <v>353.03665864024106</v>
      </c>
      <c r="X117" s="27">
        <f t="shared" si="183"/>
        <v>23.024129911320003</v>
      </c>
      <c r="Y117" s="27">
        <f t="shared" si="184"/>
        <v>32.645666397718486</v>
      </c>
      <c r="AA117" s="24">
        <f t="shared" si="185"/>
        <v>0.8189837397267176</v>
      </c>
      <c r="AB117" s="23">
        <f t="shared" si="125"/>
        <v>0.5970427019146327</v>
      </c>
      <c r="AC117" s="23">
        <f>IF('DadosReais&amp;Graficos'!soilClass&gt;0,0.8-0.1*'DadosReais&amp;Graficos'!soilClass,IF('DadosReais&amp;Graficos'!soilClass&lt;0,SWconst0,999))</f>
        <v>0.6000000000000001</v>
      </c>
      <c r="AD117" s="23">
        <f>IF('DadosReais&amp;Graficos'!soilClass&gt;0,11-2*'DadosReais&amp;Graficos'!soilClass,SWpower0)</f>
        <v>7</v>
      </c>
      <c r="AE117" s="24">
        <f>1/(1+((1-CD117/'DadosReais&amp;Graficos'!MaxASW)/AC117)^AD117)</f>
        <v>0.02774325895853319</v>
      </c>
      <c r="AF117" s="24">
        <f t="shared" si="126"/>
        <v>0.6</v>
      </c>
      <c r="AG117" s="27">
        <f t="shared" si="186"/>
        <v>1</v>
      </c>
      <c r="AH117" s="27">
        <f t="shared" si="127"/>
        <v>1</v>
      </c>
      <c r="AI117" s="27">
        <f t="shared" si="128"/>
        <v>0.9892580907210508</v>
      </c>
      <c r="AJ117" s="24">
        <f t="shared" si="129"/>
        <v>0.027445243387698232</v>
      </c>
      <c r="AM117" s="27">
        <f t="shared" si="165"/>
        <v>772.699987411499</v>
      </c>
      <c r="AN117" s="27">
        <f t="shared" si="130"/>
        <v>1</v>
      </c>
      <c r="AO117" s="27">
        <f t="shared" si="131"/>
        <v>0.8234850354783739</v>
      </c>
      <c r="AP117" s="27">
        <f t="shared" si="132"/>
        <v>636.3068765476974</v>
      </c>
      <c r="AQ117" s="27">
        <f t="shared" si="133"/>
        <v>0.0012362464437051886</v>
      </c>
      <c r="AR117" s="27">
        <f t="shared" si="187"/>
        <v>0.0682408036925264</v>
      </c>
      <c r="AS117" s="27">
        <f t="shared" si="166"/>
        <v>0.732258801852158</v>
      </c>
      <c r="AT117" s="25">
        <f t="shared" si="167"/>
        <v>0.31796209538312076</v>
      </c>
      <c r="AU117" s="25">
        <f t="shared" si="188"/>
        <v>0.14944218483006674</v>
      </c>
      <c r="AW117" s="25">
        <f t="shared" si="189"/>
        <v>0.6</v>
      </c>
      <c r="AX117" s="25">
        <f t="shared" si="134"/>
        <v>0.09158709598719422</v>
      </c>
      <c r="AY117" s="25">
        <f t="shared" si="190"/>
        <v>0.48149919246070993</v>
      </c>
      <c r="AZ117" s="25">
        <f t="shared" si="135"/>
        <v>0.474997193943902</v>
      </c>
      <c r="BA117" s="25">
        <f t="shared" si="136"/>
        <v>0.04350361359538807</v>
      </c>
      <c r="BB117" s="25">
        <f t="shared" si="191"/>
        <v>0.006501275063697788</v>
      </c>
      <c r="BC117" s="25">
        <f t="shared" si="192"/>
        <v>0.0719562913152413</v>
      </c>
      <c r="BD117" s="25">
        <f t="shared" si="193"/>
        <v>0.07098461845112766</v>
      </c>
      <c r="BG117" s="76">
        <f t="shared" si="206"/>
        <v>33086</v>
      </c>
      <c r="BH117" s="30">
        <f t="shared" si="194"/>
        <v>31</v>
      </c>
      <c r="BI117" s="27">
        <f>'PSP-1 Metdata'!D118</f>
        <v>21.700000286102295</v>
      </c>
      <c r="BJ117" s="28">
        <f>'PSP-1 Metdata'!E118</f>
        <v>28.100000381469727</v>
      </c>
      <c r="BK117" s="28">
        <f>'PSP-1 Metdata'!F118</f>
        <v>15.300000190734863</v>
      </c>
      <c r="BL117" s="28">
        <f>'PSP-1 Metdata'!G118</f>
        <v>5.520000076293946</v>
      </c>
      <c r="BM117" s="28">
        <f>'PSP-1 Metdata'!I118</f>
        <v>24.925806045532227</v>
      </c>
      <c r="BN117" s="28">
        <f>'PSP-1 Metdata'!J118</f>
        <v>1</v>
      </c>
      <c r="BO117" s="28">
        <f>'PSP-1 Metdata'!K118</f>
        <v>0</v>
      </c>
      <c r="BP117" s="25">
        <f>'PSP-1 Metdata'!L118</f>
        <v>38.01468253627602</v>
      </c>
      <c r="BQ117" s="25">
        <f>'PSP-1 Metdata'!M118</f>
        <v>17.38401691018374</v>
      </c>
      <c r="BR117" s="25">
        <f>'PSP-1 Metdata'!N118</f>
        <v>10.31533281304614</v>
      </c>
      <c r="BT117" s="25">
        <f t="shared" si="169"/>
        <v>48361.75661678577</v>
      </c>
      <c r="BU117" s="25">
        <f t="shared" si="195"/>
        <v>322.3225918866774</v>
      </c>
      <c r="BV117" s="25">
        <f t="shared" si="196"/>
        <v>0.2</v>
      </c>
      <c r="BW117" s="25">
        <f t="shared" si="197"/>
        <v>3788.087290535559</v>
      </c>
      <c r="BX117" s="25">
        <f t="shared" si="198"/>
        <v>0.0005489048677539646</v>
      </c>
      <c r="BY117" s="25">
        <f t="shared" si="137"/>
        <v>367.56186259081585</v>
      </c>
      <c r="BZ117" s="25">
        <f t="shared" si="138"/>
        <v>12.235211131500614</v>
      </c>
      <c r="CA117" s="27">
        <f t="shared" si="155"/>
        <v>0.24053508247830113</v>
      </c>
      <c r="CB117" s="139">
        <f t="shared" si="170"/>
        <v>7.456587556827335</v>
      </c>
      <c r="CD117" s="27">
        <f>IF(CJ116&lt;'DadosReais&amp;Graficos'!MinASW,'DadosReais&amp;Graficos'!MinASW,IF(CJ116&gt;'DadosReais&amp;Graficos'!MaxASW,'DadosReais&amp;Graficos'!MaxASW,CJ116))</f>
        <v>0.5464620902877719</v>
      </c>
      <c r="CE117" s="25">
        <f t="shared" si="199"/>
        <v>0.8280000114440919</v>
      </c>
      <c r="CG117" s="27">
        <f t="shared" si="200"/>
        <v>6.066462166581718</v>
      </c>
      <c r="CH117" s="27">
        <f t="shared" si="171"/>
        <v>6.066462166581718</v>
      </c>
      <c r="CI117" s="27">
        <f>MAX(CG117-CH117-'DadosReais&amp;Graficos'!MaxASW,0)</f>
        <v>0</v>
      </c>
      <c r="CJ117" s="27">
        <f t="shared" si="172"/>
        <v>0</v>
      </c>
      <c r="CK117" s="27">
        <f>poolFractn*Month!CI117</f>
        <v>0</v>
      </c>
      <c r="CQ117" s="25">
        <f>SIN(PI()*'DadosReais&amp;Graficos'!Lat/180)</f>
        <v>0.6293203910498374</v>
      </c>
      <c r="CR117" s="25">
        <f>COS(PI()*'DadosReais&amp;Graficos'!Lat/180)</f>
        <v>0.7771459614569709</v>
      </c>
      <c r="CS117" s="25">
        <f t="shared" si="139"/>
        <v>1990</v>
      </c>
      <c r="CT117" s="29">
        <f t="shared" si="175"/>
        <v>32874</v>
      </c>
      <c r="CU117" s="30">
        <f t="shared" si="173"/>
        <v>8</v>
      </c>
      <c r="CV117" s="27">
        <f t="shared" si="201"/>
        <v>228</v>
      </c>
      <c r="CW117" s="25">
        <f t="shared" si="176"/>
        <v>0.2245322171168967</v>
      </c>
      <c r="CX117" s="25">
        <f t="shared" si="140"/>
        <v>-0.18658678708195917</v>
      </c>
      <c r="CY117" s="25">
        <f t="shared" si="177"/>
        <v>0.5597425534350206</v>
      </c>
      <c r="CZ117" s="25">
        <f t="shared" si="178"/>
        <v>48361.75661678577</v>
      </c>
    </row>
    <row r="118" spans="1:104" ht="12.75">
      <c r="A118" s="149">
        <f t="shared" si="202"/>
        <v>33113</v>
      </c>
      <c r="B118" s="60">
        <f t="shared" si="141"/>
        <v>15.42</v>
      </c>
      <c r="C118" s="78">
        <f t="shared" si="142"/>
        <v>15.416666666666712</v>
      </c>
      <c r="D118" s="171">
        <f t="shared" si="160"/>
        <v>182517.8376522073</v>
      </c>
      <c r="E118" s="30">
        <f t="shared" si="179"/>
        <v>1111</v>
      </c>
      <c r="F118" s="27">
        <f t="shared" si="203"/>
        <v>8.565516656491816</v>
      </c>
      <c r="G118" s="27">
        <f t="shared" si="204"/>
        <v>37.78353355164871</v>
      </c>
      <c r="H118" s="27">
        <f t="shared" si="205"/>
        <v>187.62431415923953</v>
      </c>
      <c r="I118" s="27">
        <f t="shared" si="164"/>
        <v>196.18983081573134</v>
      </c>
      <c r="J118" s="27">
        <f t="shared" si="117"/>
        <v>233.97336436738004</v>
      </c>
      <c r="K118" s="27">
        <f t="shared" si="118"/>
        <v>4.00000000002498</v>
      </c>
      <c r="L118" s="27">
        <f t="shared" si="119"/>
        <v>3.426206662618123</v>
      </c>
      <c r="M118" s="27">
        <f t="shared" si="120"/>
        <v>11.508596100718497</v>
      </c>
      <c r="O118" s="25">
        <f t="shared" si="180"/>
        <v>0.013</v>
      </c>
      <c r="P118" s="25">
        <f t="shared" si="121"/>
        <v>0.1113517165343936</v>
      </c>
      <c r="Q118" s="25">
        <f t="shared" si="122"/>
        <v>0.3778353355164871</v>
      </c>
      <c r="S118" s="27">
        <f t="shared" si="174"/>
        <v>168.87877062037762</v>
      </c>
      <c r="T118" s="27">
        <f t="shared" si="181"/>
        <v>19.345124362684185</v>
      </c>
      <c r="U118" s="27">
        <f t="shared" si="123"/>
        <v>0.15286887549212025</v>
      </c>
      <c r="V118" s="27">
        <f t="shared" si="124"/>
        <v>0.45</v>
      </c>
      <c r="W118" s="27">
        <f t="shared" si="182"/>
        <v>353.2053249749695</v>
      </c>
      <c r="X118" s="27">
        <f t="shared" si="183"/>
        <v>22.91061567405201</v>
      </c>
      <c r="Y118" s="27">
        <f t="shared" si="184"/>
        <v>32.654797299565175</v>
      </c>
      <c r="AA118" s="24">
        <f t="shared" si="185"/>
        <v>0.8737053202630608</v>
      </c>
      <c r="AB118" s="23">
        <f t="shared" si="125"/>
        <v>0.6262258906900439</v>
      </c>
      <c r="AC118" s="23">
        <f>IF('DadosReais&amp;Graficos'!soilClass&gt;0,0.8-0.1*'DadosReais&amp;Graficos'!soilClass,IF('DadosReais&amp;Graficos'!soilClass&lt;0,SWconst0,999))</f>
        <v>0.6000000000000001</v>
      </c>
      <c r="AD118" s="23">
        <f>IF('DadosReais&amp;Graficos'!soilClass&gt;0,11-2*'DadosReais&amp;Graficos'!soilClass,SWpower0)</f>
        <v>7</v>
      </c>
      <c r="AE118" s="24">
        <f>1/(1+((1-CD118/'DadosReais&amp;Graficos'!MaxASW)/AC118)^AD118)</f>
        <v>0.027231297938041656</v>
      </c>
      <c r="AF118" s="24">
        <f t="shared" si="126"/>
        <v>0.6</v>
      </c>
      <c r="AG118" s="27">
        <f t="shared" si="186"/>
        <v>1</v>
      </c>
      <c r="AH118" s="27">
        <f t="shared" si="127"/>
        <v>1</v>
      </c>
      <c r="AI118" s="27">
        <f t="shared" si="128"/>
        <v>0.9890252441443564</v>
      </c>
      <c r="AJ118" s="24">
        <f t="shared" si="129"/>
        <v>0.02693244109153936</v>
      </c>
      <c r="AM118" s="27">
        <f t="shared" si="165"/>
        <v>576.2199783325195</v>
      </c>
      <c r="AN118" s="27">
        <f t="shared" si="130"/>
        <v>1</v>
      </c>
      <c r="AO118" s="27">
        <f t="shared" si="131"/>
        <v>0.8196946238311247</v>
      </c>
      <c r="AP118" s="27">
        <f t="shared" si="132"/>
        <v>472.32441838325343</v>
      </c>
      <c r="AQ118" s="27">
        <f t="shared" si="133"/>
        <v>0.0012942059388142179</v>
      </c>
      <c r="AR118" s="27">
        <f t="shared" si="187"/>
        <v>0.07144016782254482</v>
      </c>
      <c r="AS118" s="27">
        <f t="shared" si="166"/>
        <v>1</v>
      </c>
      <c r="AT118" s="25">
        <f t="shared" si="167"/>
        <v>0.337429357159855</v>
      </c>
      <c r="AU118" s="25">
        <f t="shared" si="188"/>
        <v>0.15859179786513183</v>
      </c>
      <c r="AW118" s="25">
        <f t="shared" si="189"/>
        <v>0.6</v>
      </c>
      <c r="AX118" s="25">
        <f t="shared" si="134"/>
        <v>0.0915803999661056</v>
      </c>
      <c r="AY118" s="25">
        <f t="shared" si="190"/>
        <v>0.4818323115157428</v>
      </c>
      <c r="AZ118" s="25">
        <f t="shared" si="135"/>
        <v>0.47469493635131843</v>
      </c>
      <c r="BA118" s="25">
        <f t="shared" si="136"/>
        <v>0.043472752132938774</v>
      </c>
      <c r="BB118" s="25">
        <f t="shared" si="191"/>
        <v>0.006894421918908005</v>
      </c>
      <c r="BC118" s="25">
        <f t="shared" si="192"/>
        <v>0.07641465255279392</v>
      </c>
      <c r="BD118" s="25">
        <f t="shared" si="193"/>
        <v>0.07528272339342991</v>
      </c>
      <c r="BG118" s="76">
        <f t="shared" si="206"/>
        <v>33117</v>
      </c>
      <c r="BH118" s="30">
        <f t="shared" si="194"/>
        <v>30</v>
      </c>
      <c r="BI118" s="27">
        <f>'PSP-1 Metdata'!D119</f>
        <v>20.649999618530273</v>
      </c>
      <c r="BJ118" s="28">
        <f>'PSP-1 Metdata'!E119</f>
        <v>26.799999237060547</v>
      </c>
      <c r="BK118" s="28">
        <f>'PSP-1 Metdata'!F119</f>
        <v>14.5</v>
      </c>
      <c r="BL118" s="28">
        <f>'PSP-1 Metdata'!G119</f>
        <v>26.560000610351565</v>
      </c>
      <c r="BM118" s="28">
        <f>'PSP-1 Metdata'!I119</f>
        <v>19.207332611083984</v>
      </c>
      <c r="BN118" s="28">
        <f>'PSP-1 Metdata'!J119</f>
        <v>4</v>
      </c>
      <c r="BO118" s="28">
        <f>'PSP-1 Metdata'!K119</f>
        <v>0</v>
      </c>
      <c r="BP118" s="25">
        <f>'PSP-1 Metdata'!L119</f>
        <v>35.23246508776798</v>
      </c>
      <c r="BQ118" s="25">
        <f>'PSP-1 Metdata'!M119</f>
        <v>16.510700078797765</v>
      </c>
      <c r="BR118" s="25">
        <f>'PSP-1 Metdata'!N119</f>
        <v>9.360882504485106</v>
      </c>
      <c r="BT118" s="25">
        <f t="shared" si="169"/>
        <v>43912.27946472623</v>
      </c>
      <c r="BU118" s="25">
        <f t="shared" si="195"/>
        <v>259.9218504748826</v>
      </c>
      <c r="BV118" s="25">
        <f t="shared" si="196"/>
        <v>0.2</v>
      </c>
      <c r="BW118" s="25">
        <f t="shared" si="197"/>
        <v>3437.585649063061</v>
      </c>
      <c r="BX118" s="25">
        <f t="shared" si="198"/>
        <v>0.0005386488218307872</v>
      </c>
      <c r="BY118" s="25">
        <f t="shared" si="137"/>
        <v>374.49942904215357</v>
      </c>
      <c r="BZ118" s="25">
        <f t="shared" si="138"/>
        <v>10.706060968804586</v>
      </c>
      <c r="CA118" s="27">
        <f t="shared" si="155"/>
        <v>0.19110875659696935</v>
      </c>
      <c r="CB118" s="139">
        <f t="shared" si="170"/>
        <v>5.733262697909081</v>
      </c>
      <c r="CD118" s="27">
        <f>IF(CJ117&lt;'DadosReais&amp;Graficos'!MinASW,'DadosReais&amp;Graficos'!MinASW,IF(CJ117&gt;'DadosReais&amp;Graficos'!MaxASW,'DadosReais&amp;Graficos'!MaxASW,CJ117))</f>
        <v>0</v>
      </c>
      <c r="CE118" s="25">
        <f t="shared" si="199"/>
        <v>3.9840000915527347</v>
      </c>
      <c r="CG118" s="27">
        <f t="shared" si="200"/>
        <v>26.560000610351565</v>
      </c>
      <c r="CH118" s="27">
        <f t="shared" si="171"/>
        <v>9.717262789461815</v>
      </c>
      <c r="CI118" s="27">
        <f>MAX(CG118-CH118-'DadosReais&amp;Graficos'!MaxASW,0)</f>
        <v>0</v>
      </c>
      <c r="CJ118" s="27">
        <f t="shared" si="172"/>
        <v>16.842737820889752</v>
      </c>
      <c r="CK118" s="27">
        <f>poolFractn*Month!CI118</f>
        <v>0</v>
      </c>
      <c r="CQ118" s="25">
        <f>SIN(PI()*'DadosReais&amp;Graficos'!Lat/180)</f>
        <v>0.6293203910498374</v>
      </c>
      <c r="CR118" s="25">
        <f>COS(PI()*'DadosReais&amp;Graficos'!Lat/180)</f>
        <v>0.7771459614569709</v>
      </c>
      <c r="CS118" s="25">
        <f t="shared" si="139"/>
        <v>1990</v>
      </c>
      <c r="CT118" s="29">
        <f t="shared" si="175"/>
        <v>32874</v>
      </c>
      <c r="CU118" s="30">
        <f t="shared" si="173"/>
        <v>9</v>
      </c>
      <c r="CV118" s="27">
        <f t="shared" si="201"/>
        <v>258</v>
      </c>
      <c r="CW118" s="25">
        <f t="shared" si="176"/>
        <v>0.031962948421114835</v>
      </c>
      <c r="CX118" s="25">
        <f t="shared" si="140"/>
        <v>-0.025896316893613495</v>
      </c>
      <c r="CY118" s="25">
        <f t="shared" si="177"/>
        <v>0.5082439752861831</v>
      </c>
      <c r="CZ118" s="25">
        <f t="shared" si="178"/>
        <v>43912.27946472623</v>
      </c>
    </row>
    <row r="119" spans="1:104" ht="12.75">
      <c r="A119" s="149">
        <f t="shared" si="202"/>
        <v>33144</v>
      </c>
      <c r="B119" s="60">
        <f t="shared" si="141"/>
        <v>15.5</v>
      </c>
      <c r="C119" s="78">
        <f t="shared" si="142"/>
        <v>15.500000000000046</v>
      </c>
      <c r="D119" s="171">
        <f t="shared" si="160"/>
        <v>182918.28941012337</v>
      </c>
      <c r="E119" s="30">
        <f t="shared" si="179"/>
        <v>1111</v>
      </c>
      <c r="F119" s="27">
        <f t="shared" si="203"/>
        <v>8.46105936187633</v>
      </c>
      <c r="G119" s="27">
        <f t="shared" si="204"/>
        <v>37.482112868685014</v>
      </c>
      <c r="H119" s="27">
        <f t="shared" si="205"/>
        <v>187.69959688263296</v>
      </c>
      <c r="I119" s="27">
        <f t="shared" si="164"/>
        <v>196.16065624450928</v>
      </c>
      <c r="J119" s="27">
        <f t="shared" si="117"/>
        <v>233.6427691131943</v>
      </c>
      <c r="K119" s="27">
        <f t="shared" si="118"/>
        <v>4.000000000018772</v>
      </c>
      <c r="L119" s="27">
        <f t="shared" si="119"/>
        <v>3.384423744766415</v>
      </c>
      <c r="M119" s="27">
        <f t="shared" si="120"/>
        <v>11.619947817252891</v>
      </c>
      <c r="O119" s="25">
        <f t="shared" si="180"/>
        <v>0.013</v>
      </c>
      <c r="P119" s="25">
        <f t="shared" si="121"/>
        <v>0.10999377170439228</v>
      </c>
      <c r="Q119" s="25">
        <f t="shared" si="122"/>
        <v>0.37482112868685014</v>
      </c>
      <c r="S119" s="27">
        <f t="shared" si="174"/>
        <v>168.94653184755444</v>
      </c>
      <c r="T119" s="27">
        <f t="shared" si="181"/>
        <v>19.347992255499275</v>
      </c>
      <c r="U119" s="27">
        <f t="shared" si="123"/>
        <v>0.1527872041757876</v>
      </c>
      <c r="V119" s="27">
        <f t="shared" si="124"/>
        <v>0.45</v>
      </c>
      <c r="W119" s="27">
        <f t="shared" si="182"/>
        <v>353.38111166669574</v>
      </c>
      <c r="X119" s="27">
        <f t="shared" si="183"/>
        <v>22.798781397851272</v>
      </c>
      <c r="Y119" s="27">
        <f t="shared" si="184"/>
        <v>32.66448009080342</v>
      </c>
      <c r="AA119" s="24">
        <f t="shared" si="185"/>
        <v>0.997509272845402</v>
      </c>
      <c r="AB119" s="23">
        <f t="shared" si="125"/>
        <v>0.7382362448034362</v>
      </c>
      <c r="AC119" s="23">
        <f>IF('DadosReais&amp;Graficos'!soilClass&gt;0,0.8-0.1*'DadosReais&amp;Graficos'!soilClass,IF('DadosReais&amp;Graficos'!soilClass&lt;0,SWconst0,999))</f>
        <v>0.6000000000000001</v>
      </c>
      <c r="AD119" s="23">
        <f>IF('DadosReais&amp;Graficos'!soilClass&gt;0,11-2*'DadosReais&amp;Graficos'!soilClass,SWpower0)</f>
        <v>7</v>
      </c>
      <c r="AE119" s="24">
        <f>1/(1+((1-CD119/'DadosReais&amp;Graficos'!MaxASW)/AC119)^AD119)</f>
        <v>0.0492672341967695</v>
      </c>
      <c r="AF119" s="24">
        <f t="shared" si="126"/>
        <v>0.6</v>
      </c>
      <c r="AG119" s="27">
        <f t="shared" si="186"/>
        <v>1</v>
      </c>
      <c r="AH119" s="27">
        <f t="shared" si="127"/>
        <v>1</v>
      </c>
      <c r="AI119" s="27">
        <f t="shared" si="128"/>
        <v>0.9887887031933538</v>
      </c>
      <c r="AJ119" s="24">
        <f t="shared" si="129"/>
        <v>0.048714884611346966</v>
      </c>
      <c r="AM119" s="27">
        <f t="shared" si="165"/>
        <v>377.76998710632324</v>
      </c>
      <c r="AN119" s="27">
        <f t="shared" si="130"/>
        <v>1</v>
      </c>
      <c r="AO119" s="27">
        <f t="shared" si="131"/>
        <v>0.8158881586091375</v>
      </c>
      <c r="AP119" s="27">
        <f t="shared" si="132"/>
        <v>308.2180591579757</v>
      </c>
      <c r="AQ119" s="27">
        <f t="shared" si="133"/>
        <v>0.002672645201897681</v>
      </c>
      <c r="AR119" s="27">
        <f t="shared" si="187"/>
        <v>0.14753001514475197</v>
      </c>
      <c r="AS119" s="27">
        <f t="shared" si="166"/>
        <v>1</v>
      </c>
      <c r="AT119" s="25">
        <f t="shared" si="167"/>
        <v>0.4547141493546221</v>
      </c>
      <c r="AU119" s="25">
        <f t="shared" si="188"/>
        <v>0.21371565019667238</v>
      </c>
      <c r="AW119" s="25">
        <f t="shared" si="189"/>
        <v>0.6</v>
      </c>
      <c r="AX119" s="25">
        <f t="shared" si="134"/>
        <v>0.09157330180432818</v>
      </c>
      <c r="AY119" s="25">
        <f t="shared" si="190"/>
        <v>0.4680767717078036</v>
      </c>
      <c r="AZ119" s="25">
        <f t="shared" si="135"/>
        <v>0.4872995953757279</v>
      </c>
      <c r="BA119" s="25">
        <f t="shared" si="136"/>
        <v>0.04462363291646848</v>
      </c>
      <c r="BB119" s="25">
        <f t="shared" si="191"/>
        <v>0.009536768722880694</v>
      </c>
      <c r="BC119" s="25">
        <f t="shared" si="192"/>
        <v>0.10003533160749263</v>
      </c>
      <c r="BD119" s="25">
        <f t="shared" si="193"/>
        <v>0.10414354986629906</v>
      </c>
      <c r="BG119" s="76">
        <f t="shared" si="206"/>
        <v>33147</v>
      </c>
      <c r="BH119" s="30">
        <f t="shared" si="194"/>
        <v>31</v>
      </c>
      <c r="BI119" s="27">
        <f>'PSP-1 Metdata'!D120</f>
        <v>16.600000381469727</v>
      </c>
      <c r="BJ119" s="28">
        <f>'PSP-1 Metdata'!E120</f>
        <v>21.600000381469727</v>
      </c>
      <c r="BK119" s="28">
        <f>'PSP-1 Metdata'!F120</f>
        <v>11.600000381469727</v>
      </c>
      <c r="BL119" s="28">
        <f>'PSP-1 Metdata'!G120</f>
        <v>181.44000244140625</v>
      </c>
      <c r="BM119" s="28">
        <f>'PSP-1 Metdata'!I120</f>
        <v>12.186128616333008</v>
      </c>
      <c r="BN119" s="28">
        <f>'PSP-1 Metdata'!J120</f>
        <v>20</v>
      </c>
      <c r="BO119" s="28">
        <f>'PSP-1 Metdata'!K120</f>
        <v>0</v>
      </c>
      <c r="BP119" s="25">
        <f>'PSP-1 Metdata'!L120</f>
        <v>25.798530559851905</v>
      </c>
      <c r="BQ119" s="25">
        <f>'PSP-1 Metdata'!M120</f>
        <v>13.658874931943691</v>
      </c>
      <c r="BR119" s="25">
        <f>'PSP-1 Metdata'!N120</f>
        <v>6.069827813954107</v>
      </c>
      <c r="BT119" s="25">
        <f t="shared" si="169"/>
        <v>39224.4387806368</v>
      </c>
      <c r="BU119" s="25">
        <f t="shared" si="195"/>
        <v>158.54155205603516</v>
      </c>
      <c r="BV119" s="25">
        <f t="shared" si="196"/>
        <v>0.2</v>
      </c>
      <c r="BW119" s="25">
        <f t="shared" si="197"/>
        <v>2229.01558432499</v>
      </c>
      <c r="BX119" s="25">
        <f t="shared" si="198"/>
        <v>0.0009742976922269393</v>
      </c>
      <c r="BY119" s="25">
        <f t="shared" si="137"/>
        <v>208.47606869607034</v>
      </c>
      <c r="BZ119" s="25">
        <f t="shared" si="138"/>
        <v>12.365001963877006</v>
      </c>
      <c r="CA119" s="27">
        <f t="shared" si="155"/>
        <v>0.19715864331485672</v>
      </c>
      <c r="CB119" s="139">
        <f t="shared" si="170"/>
        <v>6.1119179427605586</v>
      </c>
      <c r="CD119" s="27">
        <f>IF(CJ118&lt;'DadosReais&amp;Graficos'!MinASW,'DadosReais&amp;Graficos'!MinASW,IF(CJ118&gt;'DadosReais&amp;Graficos'!MaxASW,'DadosReais&amp;Graficos'!MaxASW,CJ118))</f>
        <v>16.842737820889752</v>
      </c>
      <c r="CE119" s="25">
        <f t="shared" si="199"/>
        <v>27.216000366210938</v>
      </c>
      <c r="CG119" s="27">
        <f t="shared" si="200"/>
        <v>198.282740262296</v>
      </c>
      <c r="CH119" s="27">
        <f t="shared" si="171"/>
        <v>33.3279183089715</v>
      </c>
      <c r="CI119" s="27">
        <f>MAX(CG119-CH119-'DadosReais&amp;Graficos'!MaxASW,0)</f>
        <v>0</v>
      </c>
      <c r="CJ119" s="27">
        <f t="shared" si="172"/>
        <v>164.95482195332448</v>
      </c>
      <c r="CK119" s="27">
        <f>poolFractn*Month!CI119</f>
        <v>0</v>
      </c>
      <c r="CQ119" s="25">
        <f>SIN(PI()*'DadosReais&amp;Graficos'!Lat/180)</f>
        <v>0.6293203910498374</v>
      </c>
      <c r="CR119" s="25">
        <f>COS(PI()*'DadosReais&amp;Graficos'!Lat/180)</f>
        <v>0.7771459614569709</v>
      </c>
      <c r="CS119" s="25">
        <f t="shared" si="139"/>
        <v>1990</v>
      </c>
      <c r="CT119" s="29">
        <f t="shared" si="175"/>
        <v>32874</v>
      </c>
      <c r="CU119" s="30">
        <f t="shared" si="173"/>
        <v>10</v>
      </c>
      <c r="CV119" s="27">
        <f t="shared" si="201"/>
        <v>289</v>
      </c>
      <c r="CW119" s="25">
        <f t="shared" si="176"/>
        <v>-0.1751405350728837</v>
      </c>
      <c r="CX119" s="25">
        <f t="shared" si="140"/>
        <v>0.14405256542254885</v>
      </c>
      <c r="CY119" s="25">
        <f t="shared" si="177"/>
        <v>0.4539865599610741</v>
      </c>
      <c r="CZ119" s="25">
        <f t="shared" si="178"/>
        <v>39224.4387806368</v>
      </c>
    </row>
    <row r="120" spans="1:104" ht="12.75">
      <c r="A120" s="149">
        <f t="shared" si="202"/>
        <v>33174</v>
      </c>
      <c r="B120" s="60">
        <f t="shared" si="141"/>
        <v>15.58</v>
      </c>
      <c r="C120" s="78">
        <f t="shared" si="142"/>
        <v>15.58333333333338</v>
      </c>
      <c r="D120" s="171">
        <f t="shared" si="160"/>
        <v>183247.7532110291</v>
      </c>
      <c r="E120" s="30">
        <f t="shared" si="179"/>
        <v>1111</v>
      </c>
      <c r="F120" s="27">
        <f t="shared" si="203"/>
        <v>8.36060235889482</v>
      </c>
      <c r="G120" s="27">
        <f t="shared" si="204"/>
        <v>37.20732707160566</v>
      </c>
      <c r="H120" s="27">
        <f t="shared" si="205"/>
        <v>187.80374043249927</v>
      </c>
      <c r="I120" s="27">
        <f t="shared" si="164"/>
        <v>196.1643427913941</v>
      </c>
      <c r="J120" s="27">
        <f t="shared" si="117"/>
        <v>233.37166986299974</v>
      </c>
      <c r="K120" s="27">
        <f t="shared" si="118"/>
        <v>4.000000000014085</v>
      </c>
      <c r="L120" s="27">
        <f t="shared" si="119"/>
        <v>3.3442409435697034</v>
      </c>
      <c r="M120" s="27">
        <f t="shared" si="120"/>
        <v>11.729941588957283</v>
      </c>
      <c r="O120" s="25">
        <f t="shared" si="180"/>
        <v>0.013</v>
      </c>
      <c r="P120" s="25">
        <f t="shared" si="121"/>
        <v>0.10868783066563265</v>
      </c>
      <c r="Q120" s="25">
        <f t="shared" si="122"/>
        <v>0.3720732707160566</v>
      </c>
      <c r="S120" s="27">
        <f t="shared" si="174"/>
        <v>169.04027041629098</v>
      </c>
      <c r="T120" s="27">
        <f t="shared" si="181"/>
        <v>19.35195840524274</v>
      </c>
      <c r="U120" s="27">
        <f t="shared" si="123"/>
        <v>0.15270785788329433</v>
      </c>
      <c r="V120" s="27">
        <f t="shared" si="124"/>
        <v>0.45</v>
      </c>
      <c r="W120" s="27">
        <f t="shared" si="182"/>
        <v>353.61029673018237</v>
      </c>
      <c r="X120" s="27">
        <f t="shared" si="183"/>
        <v>22.691569843647997</v>
      </c>
      <c r="Y120" s="27">
        <f t="shared" si="184"/>
        <v>32.67787326318973</v>
      </c>
      <c r="AA120" s="24">
        <f t="shared" si="185"/>
        <v>0.8981411121561018</v>
      </c>
      <c r="AB120" s="23">
        <f t="shared" si="125"/>
        <v>0.7693111227208689</v>
      </c>
      <c r="AC120" s="23">
        <f>IF('DadosReais&amp;Graficos'!soilClass&gt;0,0.8-0.1*'DadosReais&amp;Graficos'!soilClass,IF('DadosReais&amp;Graficos'!soilClass&lt;0,SWconst0,999))</f>
        <v>0.6000000000000001</v>
      </c>
      <c r="AD120" s="23">
        <f>IF('DadosReais&amp;Graficos'!soilClass&gt;0,11-2*'DadosReais&amp;Graficos'!soilClass,SWpower0)</f>
        <v>7</v>
      </c>
      <c r="AE120" s="24">
        <f>1/(1+((1-CD120/'DadosReais&amp;Graficos'!MaxASW)/AC120)^AD120)</f>
        <v>0.9998188449308347</v>
      </c>
      <c r="AF120" s="24">
        <f t="shared" si="126"/>
        <v>0.6</v>
      </c>
      <c r="AG120" s="27">
        <f t="shared" si="186"/>
        <v>1</v>
      </c>
      <c r="AH120" s="27">
        <f t="shared" si="127"/>
        <v>0.9666666666666667</v>
      </c>
      <c r="AI120" s="27">
        <f t="shared" si="128"/>
        <v>0.9885484320327588</v>
      </c>
      <c r="AJ120" s="24">
        <f t="shared" si="129"/>
        <v>0.7605013041110762</v>
      </c>
      <c r="AM120" s="27">
        <f t="shared" si="165"/>
        <v>305.65999031066895</v>
      </c>
      <c r="AN120" s="27">
        <f t="shared" si="130"/>
        <v>1</v>
      </c>
      <c r="AO120" s="27">
        <f t="shared" si="131"/>
        <v>0.8121516840343943</v>
      </c>
      <c r="AP120" s="27">
        <f t="shared" si="132"/>
        <v>248.24227587274643</v>
      </c>
      <c r="AQ120" s="27">
        <f t="shared" si="133"/>
        <v>0.03631482639591427</v>
      </c>
      <c r="AR120" s="27">
        <f t="shared" si="187"/>
        <v>2.0045784170544674</v>
      </c>
      <c r="AS120" s="27">
        <f t="shared" si="166"/>
        <v>1</v>
      </c>
      <c r="AT120" s="25">
        <f t="shared" si="167"/>
        <v>4.976211084149885</v>
      </c>
      <c r="AU120" s="25">
        <f t="shared" si="188"/>
        <v>2.3388192095504454</v>
      </c>
      <c r="AW120" s="25">
        <f t="shared" si="189"/>
        <v>0.6</v>
      </c>
      <c r="AX120" s="25">
        <f t="shared" si="134"/>
        <v>0.09156348804772513</v>
      </c>
      <c r="AY120" s="25">
        <f t="shared" si="190"/>
        <v>0.2421657179564135</v>
      </c>
      <c r="AZ120" s="25">
        <f t="shared" si="135"/>
        <v>0.6942649606199109</v>
      </c>
      <c r="BA120" s="25">
        <f t="shared" si="136"/>
        <v>0.06356932142367555</v>
      </c>
      <c r="BB120" s="25">
        <f t="shared" si="191"/>
        <v>0.14867715008377905</v>
      </c>
      <c r="BC120" s="25">
        <f t="shared" si="192"/>
        <v>0.5663818330510352</v>
      </c>
      <c r="BD120" s="25">
        <f t="shared" si="193"/>
        <v>1.6237602264156312</v>
      </c>
      <c r="BG120" s="76">
        <f t="shared" si="206"/>
        <v>33178</v>
      </c>
      <c r="BH120" s="30">
        <f t="shared" si="194"/>
        <v>30</v>
      </c>
      <c r="BI120" s="27">
        <f>'PSP-1 Metdata'!D121</f>
        <v>12.449999809265137</v>
      </c>
      <c r="BJ120" s="28">
        <f>'PSP-1 Metdata'!E121</f>
        <v>17.899999618530273</v>
      </c>
      <c r="BK120" s="28">
        <f>'PSP-1 Metdata'!F121</f>
        <v>7</v>
      </c>
      <c r="BL120" s="28">
        <f>'PSP-1 Metdata'!G121</f>
        <v>96.4</v>
      </c>
      <c r="BM120" s="28">
        <f>'PSP-1 Metdata'!I121</f>
        <v>10.188666343688965</v>
      </c>
      <c r="BN120" s="28">
        <f>'PSP-1 Metdata'!J121</f>
        <v>10</v>
      </c>
      <c r="BO120" s="28">
        <f>'PSP-1 Metdata'!K121</f>
        <v>1</v>
      </c>
      <c r="BP120" s="25">
        <f>'PSP-1 Metdata'!L121</f>
        <v>20.508361575311643</v>
      </c>
      <c r="BQ120" s="25">
        <f>'PSP-1 Metdata'!M121</f>
        <v>10.01796915987648</v>
      </c>
      <c r="BR120" s="25">
        <f>'PSP-1 Metdata'!N121</f>
        <v>5.245196207717581</v>
      </c>
      <c r="BT120" s="25">
        <f t="shared" si="169"/>
        <v>35312.835538885876</v>
      </c>
      <c r="BU120" s="25">
        <f t="shared" si="195"/>
        <v>140.82069028343835</v>
      </c>
      <c r="BV120" s="25">
        <f t="shared" si="196"/>
        <v>0.2</v>
      </c>
      <c r="BW120" s="25">
        <f t="shared" si="197"/>
        <v>1926.1871091246785</v>
      </c>
      <c r="BX120" s="25">
        <f t="shared" si="198"/>
        <v>0.015210026082221524</v>
      </c>
      <c r="BY120" s="25">
        <f t="shared" si="137"/>
        <v>16.34922137009174</v>
      </c>
      <c r="BZ120" s="25">
        <f t="shared" si="138"/>
        <v>136.7644719667586</v>
      </c>
      <c r="CA120" s="27">
        <f t="shared" si="155"/>
        <v>1.9632281732214287</v>
      </c>
      <c r="CB120" s="139">
        <f t="shared" si="170"/>
        <v>58.896845196642865</v>
      </c>
      <c r="CD120" s="27">
        <f>IF(CJ119&lt;'DadosReais&amp;Graficos'!MinASW,'DadosReais&amp;Graficos'!MinASW,IF(CJ119&gt;'DadosReais&amp;Graficos'!MaxASW,'DadosReais&amp;Graficos'!MaxASW,CJ119))</f>
        <v>164.95482195332448</v>
      </c>
      <c r="CE120" s="25">
        <f t="shared" si="199"/>
        <v>14.46</v>
      </c>
      <c r="CG120" s="27">
        <f t="shared" si="200"/>
        <v>261.3548219533245</v>
      </c>
      <c r="CH120" s="27">
        <f t="shared" si="171"/>
        <v>73.35684519664287</v>
      </c>
      <c r="CI120" s="27">
        <f>MAX(CG120-CH120-'DadosReais&amp;Graficos'!MaxASW,0)</f>
        <v>0</v>
      </c>
      <c r="CJ120" s="27">
        <f t="shared" si="172"/>
        <v>187.99797675668165</v>
      </c>
      <c r="CK120" s="27">
        <f>poolFractn*Month!CI120</f>
        <v>0</v>
      </c>
      <c r="CQ120" s="25">
        <f>SIN(PI()*'DadosReais&amp;Graficos'!Lat/180)</f>
        <v>0.6293203910498374</v>
      </c>
      <c r="CR120" s="25">
        <f>COS(PI()*'DadosReais&amp;Graficos'!Lat/180)</f>
        <v>0.7771459614569709</v>
      </c>
      <c r="CS120" s="25">
        <f t="shared" si="139"/>
        <v>1990</v>
      </c>
      <c r="CT120" s="29">
        <f t="shared" si="175"/>
        <v>32874</v>
      </c>
      <c r="CU120" s="30">
        <f t="shared" si="173"/>
        <v>11</v>
      </c>
      <c r="CV120" s="27">
        <f t="shared" si="201"/>
        <v>319</v>
      </c>
      <c r="CW120" s="25">
        <f t="shared" si="176"/>
        <v>-0.3297749470179898</v>
      </c>
      <c r="CX120" s="25">
        <f t="shared" si="140"/>
        <v>0.2828703751751745</v>
      </c>
      <c r="CY120" s="25">
        <f t="shared" si="177"/>
        <v>0.40871337429266064</v>
      </c>
      <c r="CZ120" s="25">
        <f t="shared" si="178"/>
        <v>35312.835538885876</v>
      </c>
    </row>
    <row r="121" spans="1:104" ht="12.75">
      <c r="A121" s="149">
        <f t="shared" si="202"/>
        <v>33205</v>
      </c>
      <c r="B121" s="60">
        <f t="shared" si="141"/>
        <v>15.67</v>
      </c>
      <c r="C121" s="78">
        <f t="shared" si="142"/>
        <v>15.666666666666714</v>
      </c>
      <c r="D121" s="171">
        <f t="shared" si="160"/>
        <v>181009.07373225703</v>
      </c>
      <c r="E121" s="30">
        <f t="shared" si="179"/>
        <v>1111</v>
      </c>
      <c r="F121" s="27">
        <f t="shared" si="203"/>
        <v>8.400591678312967</v>
      </c>
      <c r="G121" s="27">
        <f t="shared" si="204"/>
        <v>37.401635633940636</v>
      </c>
      <c r="H121" s="27">
        <f t="shared" si="205"/>
        <v>189.4275006589149</v>
      </c>
      <c r="I121" s="27">
        <f t="shared" si="164"/>
        <v>197.82809233722787</v>
      </c>
      <c r="J121" s="27">
        <f t="shared" si="117"/>
        <v>235.22972797116853</v>
      </c>
      <c r="K121" s="27">
        <f t="shared" si="118"/>
        <v>4.000000000010552</v>
      </c>
      <c r="L121" s="27">
        <f t="shared" si="119"/>
        <v>3.360236671334051</v>
      </c>
      <c r="M121" s="27">
        <f t="shared" si="120"/>
        <v>11.838629419622915</v>
      </c>
      <c r="O121" s="25">
        <f t="shared" si="180"/>
        <v>0.013</v>
      </c>
      <c r="P121" s="25">
        <f t="shared" si="121"/>
        <v>0.10920769181806857</v>
      </c>
      <c r="Q121" s="25">
        <f t="shared" si="122"/>
        <v>0.3740163563394064</v>
      </c>
      <c r="S121" s="27">
        <f t="shared" si="174"/>
        <v>170.50180077310074</v>
      </c>
      <c r="T121" s="27">
        <f t="shared" si="181"/>
        <v>19.41361832036452</v>
      </c>
      <c r="U121" s="27">
        <f t="shared" si="123"/>
        <v>0.15263077042572504</v>
      </c>
      <c r="V121" s="27">
        <f t="shared" si="124"/>
        <v>0.45</v>
      </c>
      <c r="W121" s="27">
        <f t="shared" si="182"/>
        <v>356.70007843005595</v>
      </c>
      <c r="X121" s="27">
        <f t="shared" si="183"/>
        <v>22.768090112556695</v>
      </c>
      <c r="Y121" s="27">
        <f t="shared" si="184"/>
        <v>32.88644387368164</v>
      </c>
      <c r="AA121" s="24">
        <f t="shared" si="185"/>
        <v>0.6948446561218062</v>
      </c>
      <c r="AB121" s="23">
        <f t="shared" si="125"/>
        <v>0.8250273645504745</v>
      </c>
      <c r="AC121" s="23">
        <f>IF('DadosReais&amp;Graficos'!soilClass&gt;0,0.8-0.1*'DadosReais&amp;Graficos'!soilClass,IF('DadosReais&amp;Graficos'!soilClass&lt;0,SWconst0,999))</f>
        <v>0.6000000000000001</v>
      </c>
      <c r="AD121" s="23">
        <f>IF('DadosReais&amp;Graficos'!soilClass&gt;0,11-2*'DadosReais&amp;Graficos'!soilClass,SWpower0)</f>
        <v>7</v>
      </c>
      <c r="AE121" s="24">
        <f>1/(1+((1-CD121/'DadosReais&amp;Graficos'!MaxASW)/AC121)^AD121)</f>
        <v>0.9999998998819277</v>
      </c>
      <c r="AF121" s="24">
        <f t="shared" si="126"/>
        <v>0.6</v>
      </c>
      <c r="AG121" s="27">
        <f t="shared" si="186"/>
        <v>1</v>
      </c>
      <c r="AH121" s="27">
        <f t="shared" si="127"/>
        <v>0.9</v>
      </c>
      <c r="AI121" s="27">
        <f t="shared" si="128"/>
        <v>0.9883043947665048</v>
      </c>
      <c r="AJ121" s="24">
        <f t="shared" si="129"/>
        <v>0.8153781701878613</v>
      </c>
      <c r="AM121" s="27">
        <f t="shared" si="165"/>
        <v>191.1100025177002</v>
      </c>
      <c r="AN121" s="27">
        <f t="shared" si="130"/>
        <v>1</v>
      </c>
      <c r="AO121" s="27">
        <f t="shared" si="131"/>
        <v>0.8136480773444842</v>
      </c>
      <c r="AP121" s="27">
        <f t="shared" si="132"/>
        <v>155.4962861098263</v>
      </c>
      <c r="AQ121" s="27">
        <f t="shared" si="133"/>
        <v>0.0280447776315339</v>
      </c>
      <c r="AR121" s="27">
        <f t="shared" si="187"/>
        <v>1.5480717252606713</v>
      </c>
      <c r="AS121" s="27">
        <f t="shared" si="166"/>
        <v>1</v>
      </c>
      <c r="AT121" s="25">
        <f t="shared" si="167"/>
        <v>2.4071940390966575</v>
      </c>
      <c r="AU121" s="25">
        <f t="shared" si="188"/>
        <v>1.131381198375429</v>
      </c>
      <c r="AW121" s="25">
        <f t="shared" si="189"/>
        <v>0.6</v>
      </c>
      <c r="AX121" s="25">
        <f t="shared" si="134"/>
        <v>0.09141131098178508</v>
      </c>
      <c r="AY121" s="25">
        <f t="shared" si="190"/>
        <v>0.2334779952432267</v>
      </c>
      <c r="AZ121" s="25">
        <f t="shared" si="135"/>
        <v>0.7023218442433442</v>
      </c>
      <c r="BA121" s="25">
        <f t="shared" si="136"/>
        <v>0.06420016051342914</v>
      </c>
      <c r="BB121" s="25">
        <f t="shared" si="191"/>
        <v>0.07263485453757836</v>
      </c>
      <c r="BC121" s="25">
        <f t="shared" si="192"/>
        <v>0.2641526140525745</v>
      </c>
      <c r="BD121" s="25">
        <f t="shared" si="193"/>
        <v>0.7945937297852761</v>
      </c>
      <c r="BG121" s="76">
        <f t="shared" si="206"/>
        <v>33208</v>
      </c>
      <c r="BH121" s="30">
        <f t="shared" si="194"/>
        <v>31</v>
      </c>
      <c r="BI121" s="27">
        <f>'PSP-1 Metdata'!D122</f>
        <v>10.099999904632568</v>
      </c>
      <c r="BJ121" s="28">
        <f>'PSP-1 Metdata'!E122</f>
        <v>14.699999809265137</v>
      </c>
      <c r="BK121" s="28">
        <f>'PSP-1 Metdata'!F122</f>
        <v>5.5</v>
      </c>
      <c r="BL121" s="28">
        <f>'PSP-1 Metdata'!G122</f>
        <v>80.47999877929688</v>
      </c>
      <c r="BM121" s="28">
        <f>'PSP-1 Metdata'!I122</f>
        <v>6.164838790893555</v>
      </c>
      <c r="BN121" s="28">
        <f>'PSP-1 Metdata'!J122</f>
        <v>13</v>
      </c>
      <c r="BO121" s="28">
        <f>'PSP-1 Metdata'!K122</f>
        <v>3</v>
      </c>
      <c r="BP121" s="25">
        <f>'PSP-1 Metdata'!L122</f>
        <v>16.72534048915564</v>
      </c>
      <c r="BQ121" s="25">
        <f>'PSP-1 Metdata'!M122</f>
        <v>9.031791527337647</v>
      </c>
      <c r="BR121" s="25">
        <f>'PSP-1 Metdata'!N122</f>
        <v>3.846774480908997</v>
      </c>
      <c r="BT121" s="25">
        <f t="shared" si="169"/>
        <v>33294.53956575766</v>
      </c>
      <c r="BU121" s="25">
        <f t="shared" si="195"/>
        <v>58.12852488842077</v>
      </c>
      <c r="BV121" s="25">
        <f t="shared" si="196"/>
        <v>0.2</v>
      </c>
      <c r="BW121" s="25">
        <f t="shared" si="197"/>
        <v>1412.646376494834</v>
      </c>
      <c r="BX121" s="25">
        <f t="shared" si="198"/>
        <v>0.016307563403757226</v>
      </c>
      <c r="BY121" s="25">
        <f t="shared" si="137"/>
        <v>15.46424788597912</v>
      </c>
      <c r="BZ121" s="25">
        <f t="shared" si="138"/>
        <v>99.61875563609544</v>
      </c>
      <c r="CA121" s="27">
        <f t="shared" si="155"/>
        <v>1.3482766670802941</v>
      </c>
      <c r="CB121" s="139">
        <f t="shared" si="170"/>
        <v>41.79657667948912</v>
      </c>
      <c r="CD121" s="27">
        <f>IF(CJ120&lt;'DadosReais&amp;Graficos'!MinASW,'DadosReais&amp;Graficos'!MinASW,IF(CJ120&gt;'DadosReais&amp;Graficos'!MaxASW,'DadosReais&amp;Graficos'!MaxASW,CJ120))</f>
        <v>187.99797675668165</v>
      </c>
      <c r="CE121" s="25">
        <f t="shared" si="199"/>
        <v>12.07199981689453</v>
      </c>
      <c r="CG121" s="27">
        <f t="shared" si="200"/>
        <v>268.47797553597854</v>
      </c>
      <c r="CH121" s="27">
        <f t="shared" si="171"/>
        <v>53.86857649638365</v>
      </c>
      <c r="CI121" s="27">
        <f>MAX(CG121-CH121-'DadosReais&amp;Graficos'!MaxASW,0)</f>
        <v>14.609399039594905</v>
      </c>
      <c r="CJ121" s="27">
        <f t="shared" si="172"/>
        <v>200</v>
      </c>
      <c r="CK121" s="27">
        <f>poolFractn*Month!CI121</f>
        <v>0</v>
      </c>
      <c r="CQ121" s="25">
        <f>SIN(PI()*'DadosReais&amp;Graficos'!Lat/180)</f>
        <v>0.6293203910498374</v>
      </c>
      <c r="CR121" s="25">
        <f>COS(PI()*'DadosReais&amp;Graficos'!Lat/180)</f>
        <v>0.7771459614569709</v>
      </c>
      <c r="CS121" s="25">
        <f t="shared" si="139"/>
        <v>1990</v>
      </c>
      <c r="CT121" s="29">
        <f t="shared" si="175"/>
        <v>32874</v>
      </c>
      <c r="CU121" s="30">
        <f t="shared" si="173"/>
        <v>12</v>
      </c>
      <c r="CV121" s="27">
        <f t="shared" si="201"/>
        <v>350</v>
      </c>
      <c r="CW121" s="25">
        <f t="shared" si="176"/>
        <v>-0.39906495399591085</v>
      </c>
      <c r="CX121" s="25">
        <f t="shared" si="140"/>
        <v>0.352435862283474</v>
      </c>
      <c r="CY121" s="25">
        <f t="shared" si="177"/>
        <v>0.3853534671962692</v>
      </c>
      <c r="CZ121" s="25">
        <f t="shared" si="178"/>
        <v>33294.53956575766</v>
      </c>
    </row>
    <row r="122" spans="1:104" ht="12.75">
      <c r="A122" s="149">
        <f t="shared" si="202"/>
        <v>33235</v>
      </c>
      <c r="B122" s="60">
        <f t="shared" si="141"/>
        <v>15.75</v>
      </c>
      <c r="C122" s="78">
        <f t="shared" si="142"/>
        <v>15.750000000000048</v>
      </c>
      <c r="D122" s="171">
        <f t="shared" si="160"/>
        <v>180238.70845912458</v>
      </c>
      <c r="E122" s="30">
        <f t="shared" si="179"/>
        <v>1111</v>
      </c>
      <c r="F122" s="27">
        <f t="shared" si="203"/>
        <v>8.364018841032477</v>
      </c>
      <c r="G122" s="27">
        <f t="shared" si="204"/>
        <v>37.29177189165381</v>
      </c>
      <c r="H122" s="27">
        <f t="shared" si="205"/>
        <v>190.22209438870019</v>
      </c>
      <c r="I122" s="27">
        <f t="shared" si="164"/>
        <v>198.58611322973266</v>
      </c>
      <c r="J122" s="27">
        <f t="shared" si="117"/>
        <v>235.87788512138647</v>
      </c>
      <c r="K122" s="27">
        <f t="shared" si="118"/>
        <v>4.000000000007892</v>
      </c>
      <c r="L122" s="27">
        <f t="shared" si="119"/>
        <v>3.3456075364195925</v>
      </c>
      <c r="M122" s="27">
        <f t="shared" si="120"/>
        <v>11.947837111440984</v>
      </c>
      <c r="O122" s="25">
        <f t="shared" si="180"/>
        <v>0.013</v>
      </c>
      <c r="P122" s="25">
        <f t="shared" si="121"/>
        <v>0.10873224493342219</v>
      </c>
      <c r="Q122" s="25">
        <f t="shared" si="122"/>
        <v>0.3729177189165381</v>
      </c>
      <c r="S122" s="27">
        <f t="shared" si="174"/>
        <v>171.21700665049522</v>
      </c>
      <c r="T122" s="27">
        <f t="shared" si="181"/>
        <v>19.443670456357857</v>
      </c>
      <c r="U122" s="27">
        <f t="shared" si="123"/>
        <v>0.15255587749843416</v>
      </c>
      <c r="V122" s="27">
        <f t="shared" si="124"/>
        <v>0.45</v>
      </c>
      <c r="W122" s="27">
        <f t="shared" si="182"/>
        <v>358.2279907992046</v>
      </c>
      <c r="X122" s="27">
        <f t="shared" si="183"/>
        <v>22.744634336457363</v>
      </c>
      <c r="Y122" s="27">
        <f t="shared" si="184"/>
        <v>32.98833861724919</v>
      </c>
      <c r="AA122" s="24">
        <f t="shared" si="185"/>
        <v>0.5255597181715139</v>
      </c>
      <c r="AB122" s="23">
        <f t="shared" si="125"/>
        <v>0.7849189960082501</v>
      </c>
      <c r="AC122" s="23">
        <f>IF('DadosReais&amp;Graficos'!soilClass&gt;0,0.8-0.1*'DadosReais&amp;Graficos'!soilClass,IF('DadosReais&amp;Graficos'!soilClass&lt;0,SWconst0,999))</f>
        <v>0.6000000000000001</v>
      </c>
      <c r="AD122" s="23">
        <f>IF('DadosReais&amp;Graficos'!soilClass&gt;0,11-2*'DadosReais&amp;Graficos'!soilClass,SWpower0)</f>
        <v>7</v>
      </c>
      <c r="AE122" s="24">
        <f>1/(1+((1-CD122/'DadosReais&amp;Graficos'!MaxASW)/AC122)^AD122)</f>
        <v>1</v>
      </c>
      <c r="AF122" s="24">
        <f t="shared" si="126"/>
        <v>0.6</v>
      </c>
      <c r="AG122" s="27">
        <f t="shared" si="186"/>
        <v>1</v>
      </c>
      <c r="AH122" s="27">
        <f t="shared" si="127"/>
        <v>0.6666666666666667</v>
      </c>
      <c r="AI122" s="27">
        <f t="shared" si="128"/>
        <v>0.988056555441059</v>
      </c>
      <c r="AJ122" s="24">
        <f t="shared" si="129"/>
        <v>0.775544359496166</v>
      </c>
      <c r="AM122" s="27">
        <f t="shared" si="165"/>
        <v>278.4599857330322</v>
      </c>
      <c r="AN122" s="27">
        <f t="shared" si="130"/>
        <v>1</v>
      </c>
      <c r="AO122" s="27">
        <f t="shared" si="131"/>
        <v>0.8122799962744855</v>
      </c>
      <c r="AP122" s="27">
        <f t="shared" si="132"/>
        <v>226.18747617382073</v>
      </c>
      <c r="AQ122" s="27">
        <f t="shared" si="133"/>
        <v>0.014945145416898117</v>
      </c>
      <c r="AR122" s="27">
        <f t="shared" si="187"/>
        <v>0.8249720270127759</v>
      </c>
      <c r="AS122" s="27">
        <f t="shared" si="166"/>
        <v>1</v>
      </c>
      <c r="AT122" s="25">
        <f t="shared" si="167"/>
        <v>1.8659834070402084</v>
      </c>
      <c r="AU122" s="25">
        <f t="shared" si="188"/>
        <v>0.8770122013088979</v>
      </c>
      <c r="AW122" s="25">
        <f t="shared" si="189"/>
        <v>0.6</v>
      </c>
      <c r="AX122" s="25">
        <f t="shared" si="134"/>
        <v>0.09133740863245435</v>
      </c>
      <c r="AY122" s="25">
        <f t="shared" si="190"/>
        <v>0.23972053150750464</v>
      </c>
      <c r="AZ122" s="25">
        <f t="shared" si="135"/>
        <v>0.6966493244698678</v>
      </c>
      <c r="BA122" s="25">
        <f t="shared" si="136"/>
        <v>0.06363014402262757</v>
      </c>
      <c r="BB122" s="25">
        <f t="shared" si="191"/>
        <v>0.05580441267888681</v>
      </c>
      <c r="BC122" s="25">
        <f t="shared" si="192"/>
        <v>0.21023783103633567</v>
      </c>
      <c r="BD122" s="25">
        <f t="shared" si="193"/>
        <v>0.6109699575936755</v>
      </c>
      <c r="BG122" s="76">
        <f t="shared" si="206"/>
        <v>33239</v>
      </c>
      <c r="BH122" s="30">
        <f t="shared" si="194"/>
        <v>31</v>
      </c>
      <c r="BI122" s="27">
        <f>'PSP-1 Metdata'!D123</f>
        <v>8.799999952316284</v>
      </c>
      <c r="BJ122" s="28">
        <f>'PSP-1 Metdata'!E123</f>
        <v>15</v>
      </c>
      <c r="BK122" s="28">
        <f>'PSP-1 Metdata'!F123</f>
        <v>2.5999999046325684</v>
      </c>
      <c r="BL122" s="28">
        <f>'PSP-1 Metdata'!G123</f>
        <v>67.44000244140625</v>
      </c>
      <c r="BM122" s="28">
        <f>'PSP-1 Metdata'!I123</f>
        <v>8.982580184936523</v>
      </c>
      <c r="BN122" s="28">
        <f>'PSP-1 Metdata'!J123</f>
        <v>11</v>
      </c>
      <c r="BO122" s="28">
        <f>'PSP-1 Metdata'!K123</f>
        <v>10</v>
      </c>
      <c r="BP122" s="25">
        <f>'PSP-1 Metdata'!L123</f>
        <v>17.05189010686335</v>
      </c>
      <c r="BQ122" s="25">
        <f>'PSP-1 Metdata'!M123</f>
        <v>7.364899853960564</v>
      </c>
      <c r="BR122" s="25">
        <f>'PSP-1 Metdata'!N123</f>
        <v>4.843495126451393</v>
      </c>
      <c r="BT122" s="25">
        <f t="shared" si="169"/>
        <v>34557.10261977032</v>
      </c>
      <c r="BU122" s="25">
        <f t="shared" si="195"/>
        <v>117.94753041124545</v>
      </c>
      <c r="BV122" s="25">
        <f t="shared" si="196"/>
        <v>0.2</v>
      </c>
      <c r="BW122" s="25">
        <f t="shared" si="197"/>
        <v>1778.6709030925933</v>
      </c>
      <c r="BX122" s="25">
        <f t="shared" si="198"/>
        <v>0.01551088718992332</v>
      </c>
      <c r="BY122" s="25">
        <f t="shared" si="137"/>
        <v>16.094168950563347</v>
      </c>
      <c r="BZ122" s="25">
        <f t="shared" si="138"/>
        <v>126.6393733194898</v>
      </c>
      <c r="CA122" s="27">
        <f t="shared" si="155"/>
        <v>1.7789796014248018</v>
      </c>
      <c r="CB122" s="139">
        <f t="shared" si="170"/>
        <v>55.14836764416886</v>
      </c>
      <c r="CD122" s="27">
        <f>IF(CJ121&lt;'DadosReais&amp;Graficos'!MinASW,'DadosReais&amp;Graficos'!MinASW,IF(CJ121&gt;'DadosReais&amp;Graficos'!MaxASW,'DadosReais&amp;Graficos'!MaxASW,CJ121))</f>
        <v>200</v>
      </c>
      <c r="CE122" s="25">
        <f t="shared" si="199"/>
        <v>10.116000366210937</v>
      </c>
      <c r="CG122" s="27">
        <f t="shared" si="200"/>
        <v>267.44000244140625</v>
      </c>
      <c r="CH122" s="27">
        <f t="shared" si="171"/>
        <v>65.2643680103798</v>
      </c>
      <c r="CI122" s="27">
        <f>MAX(CG122-CH122-'DadosReais&amp;Graficos'!MaxASW,0)</f>
        <v>2.1756344310264524</v>
      </c>
      <c r="CJ122" s="27">
        <f t="shared" si="172"/>
        <v>200</v>
      </c>
      <c r="CK122" s="27">
        <f>poolFractn*Month!CI122</f>
        <v>0</v>
      </c>
      <c r="CQ122" s="25">
        <f>SIN(PI()*'DadosReais&amp;Graficos'!Lat/180)</f>
        <v>0.6293203910498374</v>
      </c>
      <c r="CR122" s="25">
        <f>COS(PI()*'DadosReais&amp;Graficos'!Lat/180)</f>
        <v>0.7771459614569709</v>
      </c>
      <c r="CS122" s="25">
        <f t="shared" si="139"/>
        <v>1990</v>
      </c>
      <c r="CT122" s="29">
        <f t="shared" si="175"/>
        <v>32874</v>
      </c>
      <c r="CU122" s="30">
        <f t="shared" si="173"/>
        <v>1</v>
      </c>
      <c r="CV122" s="27">
        <f t="shared" si="201"/>
        <v>16</v>
      </c>
      <c r="CW122" s="25">
        <f t="shared" si="176"/>
        <v>-0.3566279806934116</v>
      </c>
      <c r="CX122" s="25">
        <f t="shared" si="140"/>
        <v>0.30911718809788097</v>
      </c>
      <c r="CY122" s="25">
        <f t="shared" si="177"/>
        <v>0.39996646550660087</v>
      </c>
      <c r="CZ122" s="25">
        <f t="shared" si="178"/>
        <v>34557.10261977032</v>
      </c>
    </row>
    <row r="123" spans="1:104" ht="12.75">
      <c r="A123" s="149">
        <f t="shared" si="202"/>
        <v>33266</v>
      </c>
      <c r="B123" s="60">
        <f t="shared" si="141"/>
        <v>15.83</v>
      </c>
      <c r="C123" s="78">
        <f t="shared" si="142"/>
        <v>15.833333333333382</v>
      </c>
      <c r="D123" s="171">
        <f t="shared" si="160"/>
        <v>179771.44646595957</v>
      </c>
      <c r="E123" s="30">
        <f t="shared" si="179"/>
        <v>1111</v>
      </c>
      <c r="F123" s="27">
        <f t="shared" si="203"/>
        <v>8.311091008777941</v>
      </c>
      <c r="G123" s="27">
        <f t="shared" si="204"/>
        <v>37.12909200377361</v>
      </c>
      <c r="H123" s="27">
        <f t="shared" si="205"/>
        <v>190.83306434629387</v>
      </c>
      <c r="I123" s="27">
        <f t="shared" si="164"/>
        <v>199.1441553550718</v>
      </c>
      <c r="J123" s="27">
        <f t="shared" si="117"/>
        <v>236.27324735884542</v>
      </c>
      <c r="K123" s="27">
        <f t="shared" si="118"/>
        <v>4.000000000005895</v>
      </c>
      <c r="L123" s="27">
        <f t="shared" si="119"/>
        <v>3.324436403516076</v>
      </c>
      <c r="M123" s="27">
        <f t="shared" si="120"/>
        <v>12.056569356374407</v>
      </c>
      <c r="O123" s="25">
        <f t="shared" si="180"/>
        <v>0.013</v>
      </c>
      <c r="P123" s="25">
        <f t="shared" si="121"/>
        <v>0.10804418311411323</v>
      </c>
      <c r="Q123" s="25">
        <f t="shared" si="122"/>
        <v>0.37129092003773606</v>
      </c>
      <c r="S123" s="27">
        <f t="shared" si="174"/>
        <v>171.766934605125</v>
      </c>
      <c r="T123" s="27">
        <f t="shared" si="181"/>
        <v>19.466724020376482</v>
      </c>
      <c r="U123" s="27">
        <f t="shared" si="123"/>
        <v>0.15248311662740455</v>
      </c>
      <c r="V123" s="27">
        <f t="shared" si="124"/>
        <v>0.45</v>
      </c>
      <c r="W123" s="27">
        <f t="shared" si="182"/>
        <v>359.4094309760288</v>
      </c>
      <c r="X123" s="27">
        <f t="shared" si="183"/>
        <v>22.699543009012274</v>
      </c>
      <c r="Y123" s="27">
        <f t="shared" si="184"/>
        <v>33.066610836892146</v>
      </c>
      <c r="AA123" s="24">
        <f t="shared" si="185"/>
        <v>0.5328895690444497</v>
      </c>
      <c r="AB123" s="23">
        <f t="shared" si="125"/>
        <v>0.8084926382246833</v>
      </c>
      <c r="AC123" s="23">
        <f>IF('DadosReais&amp;Graficos'!soilClass&gt;0,0.8-0.1*'DadosReais&amp;Graficos'!soilClass,IF('DadosReais&amp;Graficos'!soilClass&lt;0,SWconst0,999))</f>
        <v>0.6000000000000001</v>
      </c>
      <c r="AD123" s="23">
        <f>IF('DadosReais&amp;Graficos'!soilClass&gt;0,11-2*'DadosReais&amp;Graficos'!soilClass,SWpower0)</f>
        <v>7</v>
      </c>
      <c r="AE123" s="24">
        <f>1/(1+((1-CD123/'DadosReais&amp;Graficos'!MaxASW)/AC123)^AD123)</f>
        <v>1</v>
      </c>
      <c r="AF123" s="24">
        <f t="shared" si="126"/>
        <v>0.6</v>
      </c>
      <c r="AG123" s="27">
        <f t="shared" si="186"/>
        <v>1</v>
      </c>
      <c r="AH123" s="27">
        <f t="shared" si="127"/>
        <v>0.8333333333333334</v>
      </c>
      <c r="AI123" s="27">
        <f t="shared" si="128"/>
        <v>0.9878048780487805</v>
      </c>
      <c r="AJ123" s="24">
        <f t="shared" si="129"/>
        <v>0.7986329719048701</v>
      </c>
      <c r="AM123" s="27">
        <f t="shared" si="165"/>
        <v>304.37001037597656</v>
      </c>
      <c r="AN123" s="27">
        <f t="shared" si="130"/>
        <v>1</v>
      </c>
      <c r="AO123" s="27">
        <f t="shared" si="131"/>
        <v>0.8102823190823697</v>
      </c>
      <c r="AP123" s="27">
        <f t="shared" si="132"/>
        <v>246.62563786657122</v>
      </c>
      <c r="AQ123" s="27">
        <f t="shared" si="133"/>
        <v>0.019505895760224243</v>
      </c>
      <c r="AR123" s="27">
        <f t="shared" si="187"/>
        <v>1.0767254459643782</v>
      </c>
      <c r="AS123" s="27">
        <f t="shared" si="166"/>
        <v>1</v>
      </c>
      <c r="AT123" s="25">
        <f t="shared" si="167"/>
        <v>2.6554809991813317</v>
      </c>
      <c r="AU123" s="25">
        <f t="shared" si="188"/>
        <v>1.2480760696152258</v>
      </c>
      <c r="AW123" s="25">
        <f t="shared" si="189"/>
        <v>0.6</v>
      </c>
      <c r="AX123" s="25">
        <f t="shared" si="134"/>
        <v>0.0912808345358556</v>
      </c>
      <c r="AY123" s="25">
        <f t="shared" si="190"/>
        <v>0.2360621627604561</v>
      </c>
      <c r="AZ123" s="25">
        <f t="shared" si="135"/>
        <v>0.7000378024273307</v>
      </c>
      <c r="BA123" s="25">
        <f t="shared" si="136"/>
        <v>0.06390003481221318</v>
      </c>
      <c r="BB123" s="25">
        <f t="shared" si="191"/>
        <v>0.07975210429670312</v>
      </c>
      <c r="BC123" s="25">
        <f t="shared" si="192"/>
        <v>0.29462353628293975</v>
      </c>
      <c r="BD123" s="25">
        <f t="shared" si="193"/>
        <v>0.8737004290355829</v>
      </c>
      <c r="BG123" s="76">
        <f t="shared" si="206"/>
        <v>33270</v>
      </c>
      <c r="BH123" s="30">
        <f t="shared" si="194"/>
        <v>28</v>
      </c>
      <c r="BI123" s="27">
        <f>'PSP-1 Metdata'!D124</f>
        <v>8.850000143051147</v>
      </c>
      <c r="BJ123" s="28">
        <f>'PSP-1 Metdata'!E124</f>
        <v>14.300000190734863</v>
      </c>
      <c r="BK123" s="28">
        <f>'PSP-1 Metdata'!F124</f>
        <v>3.4000000953674316</v>
      </c>
      <c r="BL123" s="28">
        <f>'PSP-1 Metdata'!G124</f>
        <v>106.64000244140625</v>
      </c>
      <c r="BM123" s="28">
        <f>'PSP-1 Metdata'!I124</f>
        <v>10.870357513427734</v>
      </c>
      <c r="BN123" s="28">
        <f>'PSP-1 Metdata'!J124</f>
        <v>13</v>
      </c>
      <c r="BO123" s="28">
        <f>'PSP-1 Metdata'!K124</f>
        <v>5</v>
      </c>
      <c r="BP123" s="25">
        <f>'PSP-1 Metdata'!L124</f>
        <v>16.298479514731145</v>
      </c>
      <c r="BQ123" s="25">
        <f>'PSP-1 Metdata'!M124</f>
        <v>7.79513129553432</v>
      </c>
      <c r="BR123" s="25">
        <f>'PSP-1 Metdata'!N124</f>
        <v>4.2516741095984125</v>
      </c>
      <c r="BT123" s="25">
        <f t="shared" si="169"/>
        <v>37850.90307676919</v>
      </c>
      <c r="BU123" s="25">
        <f t="shared" si="195"/>
        <v>139.75108395972438</v>
      </c>
      <c r="BV123" s="25">
        <f t="shared" si="196"/>
        <v>0.2</v>
      </c>
      <c r="BW123" s="25">
        <f t="shared" si="197"/>
        <v>1561.3371812588937</v>
      </c>
      <c r="BX123" s="25">
        <f t="shared" si="198"/>
        <v>0.015945973122214904</v>
      </c>
      <c r="BY123" s="25">
        <f t="shared" si="137"/>
        <v>15.742351505746168</v>
      </c>
      <c r="BZ123" s="25">
        <f t="shared" si="138"/>
        <v>118.7109540330207</v>
      </c>
      <c r="CA123" s="27">
        <f t="shared" si="155"/>
        <v>1.826551550916532</v>
      </c>
      <c r="CB123" s="139">
        <f t="shared" si="170"/>
        <v>51.143443425662895</v>
      </c>
      <c r="CD123" s="27">
        <f>IF(CJ122&lt;'DadosReais&amp;Graficos'!MinASW,'DadosReais&amp;Graficos'!MinASW,IF(CJ122&gt;'DadosReais&amp;Graficos'!MaxASW,'DadosReais&amp;Graficos'!MaxASW,CJ122))</f>
        <v>200</v>
      </c>
      <c r="CE123" s="25">
        <f t="shared" si="199"/>
        <v>15.996000366210938</v>
      </c>
      <c r="CG123" s="27">
        <f t="shared" si="200"/>
        <v>306.64000244140624</v>
      </c>
      <c r="CH123" s="27">
        <f t="shared" si="171"/>
        <v>67.13944379187383</v>
      </c>
      <c r="CI123" s="27">
        <f>MAX(CG123-CH123-'DadosReais&amp;Graficos'!MaxASW,0)</f>
        <v>39.50055864953242</v>
      </c>
      <c r="CJ123" s="27">
        <f t="shared" si="172"/>
        <v>200</v>
      </c>
      <c r="CK123" s="27">
        <f>poolFractn*Month!CI123</f>
        <v>0</v>
      </c>
      <c r="CQ123" s="25">
        <f>SIN(PI()*'DadosReais&amp;Graficos'!Lat/180)</f>
        <v>0.6293203910498374</v>
      </c>
      <c r="CR123" s="25">
        <f>COS(PI()*'DadosReais&amp;Graficos'!Lat/180)</f>
        <v>0.7771459614569709</v>
      </c>
      <c r="CS123" s="25">
        <f t="shared" si="139"/>
        <v>1991</v>
      </c>
      <c r="CT123" s="29">
        <f t="shared" si="175"/>
        <v>33239</v>
      </c>
      <c r="CU123" s="30">
        <f t="shared" si="173"/>
        <v>2</v>
      </c>
      <c r="CV123" s="27">
        <f t="shared" si="201"/>
        <v>44</v>
      </c>
      <c r="CW123" s="25">
        <f t="shared" si="176"/>
        <v>-0.2321535487640738</v>
      </c>
      <c r="CX123" s="25">
        <f t="shared" si="140"/>
        <v>0.19327466507755395</v>
      </c>
      <c r="CY123" s="25">
        <f t="shared" si="177"/>
        <v>0.43808915598112486</v>
      </c>
      <c r="CZ123" s="25">
        <f t="shared" si="178"/>
        <v>37850.90307676919</v>
      </c>
    </row>
    <row r="124" spans="1:104" ht="12.75">
      <c r="A124" s="149">
        <f t="shared" si="202"/>
        <v>33297</v>
      </c>
      <c r="B124" s="60">
        <f t="shared" si="141"/>
        <v>15.92</v>
      </c>
      <c r="C124" s="78">
        <f t="shared" si="142"/>
        <v>15.916666666666716</v>
      </c>
      <c r="D124" s="171">
        <f t="shared" si="160"/>
        <v>178868.58842192902</v>
      </c>
      <c r="E124" s="30">
        <f t="shared" si="179"/>
        <v>1111</v>
      </c>
      <c r="F124" s="27">
        <f t="shared" si="203"/>
        <v>8.282798929960531</v>
      </c>
      <c r="G124" s="27">
        <f t="shared" si="204"/>
        <v>37.05242462001881</v>
      </c>
      <c r="H124" s="27">
        <f t="shared" si="205"/>
        <v>191.70676477532945</v>
      </c>
      <c r="I124" s="27">
        <f t="shared" si="164"/>
        <v>199.98956370528998</v>
      </c>
      <c r="J124" s="27">
        <f t="shared" si="117"/>
        <v>237.0419883253088</v>
      </c>
      <c r="K124" s="27">
        <f t="shared" si="118"/>
        <v>4.000000000004396</v>
      </c>
      <c r="L124" s="27">
        <f t="shared" si="119"/>
        <v>3.3131195719878535</v>
      </c>
      <c r="M124" s="27">
        <f t="shared" si="120"/>
        <v>12.16461353948852</v>
      </c>
      <c r="O124" s="25">
        <f t="shared" si="180"/>
        <v>0.013</v>
      </c>
      <c r="P124" s="25">
        <f t="shared" si="121"/>
        <v>0.1076763860894869</v>
      </c>
      <c r="Q124" s="25">
        <f t="shared" si="122"/>
        <v>0.37052424620018815</v>
      </c>
      <c r="S124" s="27">
        <f t="shared" si="174"/>
        <v>172.5533436321597</v>
      </c>
      <c r="T124" s="27">
        <f t="shared" si="181"/>
        <v>19.499610410569645</v>
      </c>
      <c r="U124" s="27">
        <f t="shared" si="123"/>
        <v>0.15241242711713313</v>
      </c>
      <c r="V124" s="27">
        <f t="shared" si="124"/>
        <v>0.45</v>
      </c>
      <c r="W124" s="27">
        <f t="shared" si="182"/>
        <v>361.08504769144037</v>
      </c>
      <c r="X124" s="27">
        <f t="shared" si="183"/>
        <v>22.685971582708227</v>
      </c>
      <c r="Y124" s="27">
        <f t="shared" si="184"/>
        <v>33.17842831657169</v>
      </c>
      <c r="AA124" s="24">
        <f t="shared" si="185"/>
        <v>0.9041405529450933</v>
      </c>
      <c r="AB124" s="23">
        <f t="shared" si="125"/>
        <v>0.8149929520187787</v>
      </c>
      <c r="AC124" s="23">
        <f>IF('DadosReais&amp;Graficos'!soilClass&gt;0,0.8-0.1*'DadosReais&amp;Graficos'!soilClass,IF('DadosReais&amp;Graficos'!soilClass&lt;0,SWconst0,999))</f>
        <v>0.6000000000000001</v>
      </c>
      <c r="AD124" s="23">
        <f>IF('DadosReais&amp;Graficos'!soilClass&gt;0,11-2*'DadosReais&amp;Graficos'!soilClass,SWpower0)</f>
        <v>7</v>
      </c>
      <c r="AE124" s="24">
        <f>1/(1+((1-CD124/'DadosReais&amp;Graficos'!MaxASW)/AC124)^AD124)</f>
        <v>1</v>
      </c>
      <c r="AF124" s="24">
        <f t="shared" si="126"/>
        <v>0.6</v>
      </c>
      <c r="AG124" s="27">
        <f t="shared" si="186"/>
        <v>1</v>
      </c>
      <c r="AH124" s="27">
        <f t="shared" si="127"/>
        <v>1</v>
      </c>
      <c r="AI124" s="27">
        <f t="shared" si="128"/>
        <v>0.9875493265313184</v>
      </c>
      <c r="AJ124" s="24">
        <f t="shared" si="129"/>
        <v>0.804845740893916</v>
      </c>
      <c r="AM124" s="27">
        <f t="shared" si="165"/>
        <v>435.1400136947632</v>
      </c>
      <c r="AN124" s="27">
        <f t="shared" si="130"/>
        <v>1</v>
      </c>
      <c r="AO124" s="27">
        <f t="shared" si="131"/>
        <v>0.8092057746703676</v>
      </c>
      <c r="AP124" s="27">
        <f t="shared" si="132"/>
        <v>352.1178118719452</v>
      </c>
      <c r="AQ124" s="27">
        <f t="shared" si="133"/>
        <v>0.040023152026403074</v>
      </c>
      <c r="AR124" s="27">
        <f t="shared" si="187"/>
        <v>2.2092779918574497</v>
      </c>
      <c r="AS124" s="27">
        <f t="shared" si="166"/>
        <v>1</v>
      </c>
      <c r="AT124" s="25">
        <f t="shared" si="167"/>
        <v>7.779261323096904</v>
      </c>
      <c r="AU124" s="25">
        <f t="shared" si="188"/>
        <v>3.656252821855545</v>
      </c>
      <c r="AW124" s="25">
        <f t="shared" si="189"/>
        <v>0.6</v>
      </c>
      <c r="AX124" s="25">
        <f t="shared" si="134"/>
        <v>0.09120030676012275</v>
      </c>
      <c r="AY124" s="25">
        <f t="shared" si="190"/>
        <v>0.23509674289551633</v>
      </c>
      <c r="AZ124" s="25">
        <f t="shared" si="135"/>
        <v>0.7009741954486377</v>
      </c>
      <c r="BA124" s="25">
        <f t="shared" si="136"/>
        <v>0.063929061655846</v>
      </c>
      <c r="BB124" s="25">
        <f t="shared" si="191"/>
        <v>0.23374081207776404</v>
      </c>
      <c r="BC124" s="25">
        <f t="shared" si="192"/>
        <v>0.859573129620779</v>
      </c>
      <c r="BD124" s="25">
        <f t="shared" si="193"/>
        <v>2.562938880157002</v>
      </c>
      <c r="BG124" s="76">
        <f t="shared" si="206"/>
        <v>33298</v>
      </c>
      <c r="BH124" s="30">
        <f t="shared" si="194"/>
        <v>31</v>
      </c>
      <c r="BI124" s="27">
        <f>'PSP-1 Metdata'!D125</f>
        <v>12.549999713897705</v>
      </c>
      <c r="BJ124" s="28">
        <f>'PSP-1 Metdata'!E125</f>
        <v>16.799999237060547</v>
      </c>
      <c r="BK124" s="28">
        <f>'PSP-1 Metdata'!F125</f>
        <v>8.300000190734863</v>
      </c>
      <c r="BL124" s="28">
        <f>'PSP-1 Metdata'!G125</f>
        <v>140.8</v>
      </c>
      <c r="BM124" s="28">
        <f>'PSP-1 Metdata'!I125</f>
        <v>14.036774635314941</v>
      </c>
      <c r="BN124" s="28">
        <f>'PSP-1 Metdata'!J125</f>
        <v>15</v>
      </c>
      <c r="BO124" s="28">
        <f>'PSP-1 Metdata'!K125</f>
        <v>0</v>
      </c>
      <c r="BP124" s="25">
        <f>'PSP-1 Metdata'!L125</f>
        <v>19.13116461473784</v>
      </c>
      <c r="BQ124" s="25">
        <f>'PSP-1 Metdata'!M125</f>
        <v>10.948132070402389</v>
      </c>
      <c r="BR124" s="25">
        <f>'PSP-1 Metdata'!N125</f>
        <v>4.091516272167726</v>
      </c>
      <c r="BT124" s="25">
        <f t="shared" si="169"/>
        <v>42434.28237611158</v>
      </c>
      <c r="BU124" s="25">
        <f t="shared" si="195"/>
        <v>174.6308380738298</v>
      </c>
      <c r="BV124" s="25">
        <f t="shared" si="196"/>
        <v>0.2</v>
      </c>
      <c r="BW124" s="25">
        <f t="shared" si="197"/>
        <v>1502.5226108086276</v>
      </c>
      <c r="BX124" s="25">
        <f t="shared" si="198"/>
        <v>0.016015316375896083</v>
      </c>
      <c r="BY124" s="25">
        <f t="shared" si="137"/>
        <v>15.6880455250332</v>
      </c>
      <c r="BZ124" s="25">
        <f t="shared" si="138"/>
        <v>120.26421338212303</v>
      </c>
      <c r="CA124" s="27">
        <f t="shared" si="155"/>
        <v>2.074522597722742</v>
      </c>
      <c r="CB124" s="139">
        <f t="shared" si="170"/>
        <v>64.310200529405</v>
      </c>
      <c r="CD124" s="27">
        <f>IF(CJ123&lt;'DadosReais&amp;Graficos'!MinASW,'DadosReais&amp;Graficos'!MinASW,IF(CJ123&gt;'DadosReais&amp;Graficos'!MaxASW,'DadosReais&amp;Graficos'!MaxASW,CJ123))</f>
        <v>200</v>
      </c>
      <c r="CE124" s="25">
        <f t="shared" si="199"/>
        <v>21.12</v>
      </c>
      <c r="CG124" s="27">
        <f t="shared" si="200"/>
        <v>340.8</v>
      </c>
      <c r="CH124" s="27">
        <f t="shared" si="171"/>
        <v>85.430200529405</v>
      </c>
      <c r="CI124" s="27">
        <f>MAX(CG124-CH124-'DadosReais&amp;Graficos'!MaxASW,0)</f>
        <v>55.36979947059501</v>
      </c>
      <c r="CJ124" s="27">
        <f t="shared" si="172"/>
        <v>200</v>
      </c>
      <c r="CK124" s="27">
        <f>poolFractn*Month!CI124</f>
        <v>0</v>
      </c>
      <c r="CQ124" s="25">
        <f>SIN(PI()*'DadosReais&amp;Graficos'!Lat/180)</f>
        <v>0.6293203910498374</v>
      </c>
      <c r="CR124" s="25">
        <f>COS(PI()*'DadosReais&amp;Graficos'!Lat/180)</f>
        <v>0.7771459614569709</v>
      </c>
      <c r="CS124" s="25">
        <f t="shared" si="139"/>
        <v>1991</v>
      </c>
      <c r="CT124" s="29">
        <f t="shared" si="175"/>
        <v>33239</v>
      </c>
      <c r="CU124" s="30">
        <f t="shared" si="173"/>
        <v>3</v>
      </c>
      <c r="CV124" s="27">
        <f t="shared" si="201"/>
        <v>75</v>
      </c>
      <c r="CW124" s="25">
        <f t="shared" si="176"/>
        <v>-0.03435761194480621</v>
      </c>
      <c r="CX124" s="25">
        <f t="shared" si="140"/>
        <v>0.027838681446559606</v>
      </c>
      <c r="CY124" s="25">
        <f t="shared" si="177"/>
        <v>0.49113752750129147</v>
      </c>
      <c r="CZ124" s="25">
        <f t="shared" si="178"/>
        <v>42434.28237611158</v>
      </c>
    </row>
    <row r="125" spans="1:104" ht="12.75">
      <c r="A125" s="149">
        <f t="shared" si="202"/>
        <v>33325</v>
      </c>
      <c r="B125" s="60">
        <f t="shared" si="141"/>
        <v>16</v>
      </c>
      <c r="C125" s="78">
        <f t="shared" si="142"/>
        <v>16.00000000000005</v>
      </c>
      <c r="D125" s="171">
        <f t="shared" si="160"/>
        <v>175214.05884720586</v>
      </c>
      <c r="E125" s="30">
        <f t="shared" si="179"/>
        <v>1111</v>
      </c>
      <c r="F125" s="27">
        <f t="shared" si="203"/>
        <v>8.408863355948808</v>
      </c>
      <c r="G125" s="27">
        <f t="shared" si="204"/>
        <v>37.5414735034394</v>
      </c>
      <c r="H125" s="27">
        <f t="shared" si="205"/>
        <v>194.26970365548644</v>
      </c>
      <c r="I125" s="27">
        <f t="shared" si="164"/>
        <v>202.67856701143523</v>
      </c>
      <c r="J125" s="27">
        <f t="shared" si="117"/>
        <v>240.22004051487465</v>
      </c>
      <c r="K125" s="27">
        <f t="shared" si="118"/>
        <v>4.000000000003273</v>
      </c>
      <c r="L125" s="27">
        <f t="shared" si="119"/>
        <v>3.3635453423822756</v>
      </c>
      <c r="M125" s="27">
        <f t="shared" si="120"/>
        <v>12.272289925578008</v>
      </c>
      <c r="O125" s="25">
        <f t="shared" si="180"/>
        <v>0.013</v>
      </c>
      <c r="P125" s="25">
        <f t="shared" si="121"/>
        <v>0.1093152236273345</v>
      </c>
      <c r="Q125" s="25">
        <f t="shared" si="122"/>
        <v>0.375414735034394</v>
      </c>
      <c r="S125" s="27">
        <f t="shared" si="174"/>
        <v>174.86021931186897</v>
      </c>
      <c r="T125" s="27">
        <f t="shared" si="181"/>
        <v>19.595538526537563</v>
      </c>
      <c r="U125" s="27">
        <f t="shared" si="123"/>
        <v>0.15234374999999994</v>
      </c>
      <c r="V125" s="27">
        <f t="shared" si="124"/>
        <v>0.45</v>
      </c>
      <c r="W125" s="27">
        <f t="shared" si="182"/>
        <v>365.9420633093798</v>
      </c>
      <c r="X125" s="27">
        <f t="shared" si="183"/>
        <v>22.871378956836168</v>
      </c>
      <c r="Y125" s="27">
        <f t="shared" si="184"/>
        <v>33.505673096247605</v>
      </c>
      <c r="AA125" s="24">
        <f t="shared" si="185"/>
        <v>0.9335913799753418</v>
      </c>
      <c r="AB125" s="23">
        <f t="shared" si="125"/>
        <v>0.7327730076322463</v>
      </c>
      <c r="AC125" s="23">
        <f>IF('DadosReais&amp;Graficos'!soilClass&gt;0,0.8-0.1*'DadosReais&amp;Graficos'!soilClass,IF('DadosReais&amp;Graficos'!soilClass&lt;0,SWconst0,999))</f>
        <v>0.6000000000000001</v>
      </c>
      <c r="AD125" s="23">
        <f>IF('DadosReais&amp;Graficos'!soilClass&gt;0,11-2*'DadosReais&amp;Graficos'!soilClass,SWpower0)</f>
        <v>7</v>
      </c>
      <c r="AE125" s="24">
        <f>1/(1+((1-CD125/'DadosReais&amp;Graficos'!MaxASW)/AC125)^AD125)</f>
        <v>1</v>
      </c>
      <c r="AF125" s="24">
        <f t="shared" si="126"/>
        <v>0.6</v>
      </c>
      <c r="AG125" s="27">
        <f t="shared" si="186"/>
        <v>1</v>
      </c>
      <c r="AH125" s="27">
        <f t="shared" si="127"/>
        <v>1</v>
      </c>
      <c r="AI125" s="27">
        <f t="shared" si="128"/>
        <v>0.987289864783054</v>
      </c>
      <c r="AJ125" s="24">
        <f t="shared" si="129"/>
        <v>0.7234593636219122</v>
      </c>
      <c r="AM125" s="27">
        <f t="shared" si="165"/>
        <v>627.289981842041</v>
      </c>
      <c r="AN125" s="27">
        <f t="shared" si="130"/>
        <v>1</v>
      </c>
      <c r="AO125" s="27">
        <f t="shared" si="131"/>
        <v>0.8139561110842877</v>
      </c>
      <c r="AP125" s="27">
        <f t="shared" si="132"/>
        <v>510.58651414228115</v>
      </c>
      <c r="AQ125" s="27">
        <f t="shared" si="133"/>
        <v>0.037147848410192495</v>
      </c>
      <c r="AR125" s="27">
        <f t="shared" si="187"/>
        <v>2.0505612322426257</v>
      </c>
      <c r="AS125" s="27">
        <f t="shared" si="166"/>
        <v>1</v>
      </c>
      <c r="AT125" s="25">
        <f t="shared" si="167"/>
        <v>10.469889116060628</v>
      </c>
      <c r="AU125" s="25">
        <f t="shared" si="188"/>
        <v>4.920847884548495</v>
      </c>
      <c r="AW125" s="25">
        <f t="shared" si="189"/>
        <v>0.6</v>
      </c>
      <c r="AX125" s="25">
        <f t="shared" si="134"/>
        <v>0.0909665877063643</v>
      </c>
      <c r="AY125" s="25">
        <f t="shared" si="190"/>
        <v>0.248404854678837</v>
      </c>
      <c r="AZ125" s="25">
        <f t="shared" si="135"/>
        <v>0.6889259064306525</v>
      </c>
      <c r="BA125" s="25">
        <f t="shared" si="136"/>
        <v>0.06266923889051046</v>
      </c>
      <c r="BB125" s="25">
        <f t="shared" si="191"/>
        <v>0.3083857916206327</v>
      </c>
      <c r="BC125" s="25">
        <f t="shared" si="192"/>
        <v>1.2223625036579313</v>
      </c>
      <c r="BD125" s="25">
        <f t="shared" si="193"/>
        <v>3.3900995892699313</v>
      </c>
      <c r="BG125" s="76">
        <f t="shared" si="206"/>
        <v>33329</v>
      </c>
      <c r="BH125" s="30">
        <f t="shared" si="194"/>
        <v>30</v>
      </c>
      <c r="BI125" s="27">
        <f>'PSP-1 Metdata'!D126</f>
        <v>13.09999966621399</v>
      </c>
      <c r="BJ125" s="28">
        <f>'PSP-1 Metdata'!E126</f>
        <v>19.299999237060547</v>
      </c>
      <c r="BK125" s="28">
        <f>'PSP-1 Metdata'!F126</f>
        <v>6.900000095367432</v>
      </c>
      <c r="BL125" s="28">
        <f>'PSP-1 Metdata'!G126</f>
        <v>16.88000030517578</v>
      </c>
      <c r="BM125" s="28">
        <f>'PSP-1 Metdata'!I126</f>
        <v>20.909666061401367</v>
      </c>
      <c r="BN125" s="28">
        <f>'PSP-1 Metdata'!J126</f>
        <v>7</v>
      </c>
      <c r="BO125" s="28">
        <f>'PSP-1 Metdata'!K126</f>
        <v>0</v>
      </c>
      <c r="BP125" s="25">
        <f>'PSP-1 Metdata'!L126</f>
        <v>22.386163269439102</v>
      </c>
      <c r="BQ125" s="25">
        <f>'PSP-1 Metdata'!M126</f>
        <v>9.949391234894765</v>
      </c>
      <c r="BR125" s="25">
        <f>'PSP-1 Metdata'!N126</f>
        <v>6.218386017272168</v>
      </c>
      <c r="BT125" s="25">
        <f t="shared" si="169"/>
        <v>46978.19870062779</v>
      </c>
      <c r="BU125" s="25">
        <f t="shared" si="195"/>
        <v>266.0743773025413</v>
      </c>
      <c r="BV125" s="25">
        <f t="shared" si="196"/>
        <v>0.2</v>
      </c>
      <c r="BW125" s="25">
        <f t="shared" si="197"/>
        <v>2283.570435059638</v>
      </c>
      <c r="BX125" s="25">
        <f t="shared" si="198"/>
        <v>0.014469187272438245</v>
      </c>
      <c r="BY125" s="25">
        <f t="shared" si="137"/>
        <v>17.0224764276133</v>
      </c>
      <c r="BZ125" s="25">
        <f t="shared" si="138"/>
        <v>168.5379960621557</v>
      </c>
      <c r="CA125" s="27">
        <f t="shared" si="155"/>
        <v>3.2185412469973884</v>
      </c>
      <c r="CB125" s="139">
        <f t="shared" si="170"/>
        <v>96.55623740992165</v>
      </c>
      <c r="CD125" s="27">
        <f>IF(CJ124&lt;'DadosReais&amp;Graficos'!MinASW,'DadosReais&amp;Graficos'!MinASW,IF(CJ124&gt;'DadosReais&amp;Graficos'!MaxASW,'DadosReais&amp;Graficos'!MaxASW,CJ124))</f>
        <v>200</v>
      </c>
      <c r="CE125" s="25">
        <f t="shared" si="199"/>
        <v>2.532000045776367</v>
      </c>
      <c r="CG125" s="27">
        <f t="shared" si="200"/>
        <v>216.88000030517577</v>
      </c>
      <c r="CH125" s="27">
        <f t="shared" si="171"/>
        <v>99.08823745569802</v>
      </c>
      <c r="CI125" s="27">
        <f>MAX(CG125-CH125-'DadosReais&amp;Graficos'!MaxASW,0)</f>
        <v>0</v>
      </c>
      <c r="CJ125" s="27">
        <f t="shared" si="172"/>
        <v>117.79176284947775</v>
      </c>
      <c r="CK125" s="27">
        <f>poolFractn*Month!CI125</f>
        <v>0</v>
      </c>
      <c r="CQ125" s="25">
        <f>SIN(PI()*'DadosReais&amp;Graficos'!Lat/180)</f>
        <v>0.6293203910498374</v>
      </c>
      <c r="CR125" s="25">
        <f>COS(PI()*'DadosReais&amp;Graficos'!Lat/180)</f>
        <v>0.7771459614569709</v>
      </c>
      <c r="CS125" s="25">
        <f t="shared" si="139"/>
        <v>1991</v>
      </c>
      <c r="CT125" s="29">
        <f t="shared" si="175"/>
        <v>33239</v>
      </c>
      <c r="CU125" s="30">
        <f t="shared" si="173"/>
        <v>4</v>
      </c>
      <c r="CV125" s="27">
        <f t="shared" si="201"/>
        <v>105</v>
      </c>
      <c r="CW125" s="25">
        <f t="shared" si="176"/>
        <v>0.16674832097168432</v>
      </c>
      <c r="CX125" s="25">
        <f t="shared" si="140"/>
        <v>-0.13694746197546548</v>
      </c>
      <c r="CY125" s="25">
        <f t="shared" si="177"/>
        <v>0.5437291516276365</v>
      </c>
      <c r="CZ125" s="25">
        <f t="shared" si="178"/>
        <v>46978.19870062779</v>
      </c>
    </row>
    <row r="126" spans="1:104" ht="12.75">
      <c r="A126" s="149">
        <f t="shared" si="202"/>
        <v>33356</v>
      </c>
      <c r="B126" s="60">
        <f t="shared" si="141"/>
        <v>16.08</v>
      </c>
      <c r="C126" s="78">
        <f t="shared" si="142"/>
        <v>16.083333333333382</v>
      </c>
      <c r="D126" s="171">
        <f t="shared" si="160"/>
        <v>170314.3454822436</v>
      </c>
      <c r="E126" s="30">
        <f t="shared" si="179"/>
        <v>1111</v>
      </c>
      <c r="F126" s="27">
        <f t="shared" si="203"/>
        <v>8.607933923942108</v>
      </c>
      <c r="G126" s="27">
        <f t="shared" si="204"/>
        <v>38.388421272062935</v>
      </c>
      <c r="H126" s="27">
        <f t="shared" si="205"/>
        <v>197.65980324475638</v>
      </c>
      <c r="I126" s="27">
        <f t="shared" si="164"/>
        <v>206.2677371686985</v>
      </c>
      <c r="J126" s="27">
        <f t="shared" si="117"/>
        <v>244.65615844076143</v>
      </c>
      <c r="K126" s="27">
        <f t="shared" si="118"/>
        <v>4.000000000002433</v>
      </c>
      <c r="L126" s="27">
        <f t="shared" si="119"/>
        <v>3.443173569578937</v>
      </c>
      <c r="M126" s="27">
        <f t="shared" si="120"/>
        <v>12.381605149205342</v>
      </c>
      <c r="O126" s="25">
        <f t="shared" si="180"/>
        <v>0.013</v>
      </c>
      <c r="P126" s="25">
        <f t="shared" si="121"/>
        <v>0.11190314101124739</v>
      </c>
      <c r="Q126" s="25">
        <f t="shared" si="122"/>
        <v>0.38388421272062934</v>
      </c>
      <c r="S126" s="27">
        <f t="shared" si="174"/>
        <v>177.9116140816889</v>
      </c>
      <c r="T126" s="27">
        <f t="shared" si="181"/>
        <v>19.72120850372733</v>
      </c>
      <c r="U126" s="27">
        <f t="shared" si="123"/>
        <v>0.1522770279870787</v>
      </c>
      <c r="V126" s="27">
        <f t="shared" si="124"/>
        <v>0.45</v>
      </c>
      <c r="W126" s="27">
        <f t="shared" si="182"/>
        <v>372.3572352314092</v>
      </c>
      <c r="X126" s="27">
        <f t="shared" si="183"/>
        <v>23.15174519573522</v>
      </c>
      <c r="Y126" s="27">
        <f t="shared" si="184"/>
        <v>33.93680787187893</v>
      </c>
      <c r="AA126" s="24">
        <f t="shared" si="185"/>
        <v>0.9995615873748223</v>
      </c>
      <c r="AB126" s="23">
        <f t="shared" si="125"/>
        <v>0.6180514308763502</v>
      </c>
      <c r="AC126" s="23">
        <f>IF('DadosReais&amp;Graficos'!soilClass&gt;0,0.8-0.1*'DadosReais&amp;Graficos'!soilClass,IF('DadosReais&amp;Graficos'!soilClass&lt;0,SWconst0,999))</f>
        <v>0.6000000000000001</v>
      </c>
      <c r="AD126" s="23">
        <f>IF('DadosReais&amp;Graficos'!soilClass&gt;0,11-2*'DadosReais&amp;Graficos'!soilClass,SWpower0)</f>
        <v>7</v>
      </c>
      <c r="AE126" s="24">
        <f>1/(1+((1-CD126/'DadosReais&amp;Graficos'!MaxASW)/AC126)^AD126)</f>
        <v>0.9338662277387468</v>
      </c>
      <c r="AF126" s="24">
        <f t="shared" si="126"/>
        <v>0.6</v>
      </c>
      <c r="AG126" s="27">
        <f t="shared" si="186"/>
        <v>1</v>
      </c>
      <c r="AH126" s="27">
        <f t="shared" si="127"/>
        <v>1</v>
      </c>
      <c r="AI126" s="27">
        <f t="shared" si="128"/>
        <v>0.9870264566545816</v>
      </c>
      <c r="AJ126" s="24">
        <f t="shared" si="129"/>
        <v>0.6100331138481779</v>
      </c>
      <c r="AM126" s="27">
        <f t="shared" si="165"/>
        <v>874.6100158691406</v>
      </c>
      <c r="AN126" s="27">
        <f t="shared" si="130"/>
        <v>1</v>
      </c>
      <c r="AO126" s="27">
        <f t="shared" si="131"/>
        <v>0.821217766213442</v>
      </c>
      <c r="AP126" s="27">
        <f t="shared" si="132"/>
        <v>718.2452835399587</v>
      </c>
      <c r="AQ126" s="27">
        <f t="shared" si="133"/>
        <v>0.03353711171961097</v>
      </c>
      <c r="AR126" s="27">
        <f t="shared" si="187"/>
        <v>1.8512485669225254</v>
      </c>
      <c r="AS126" s="27">
        <f t="shared" si="166"/>
        <v>0.8325947362727241</v>
      </c>
      <c r="AT126" s="25">
        <f t="shared" si="167"/>
        <v>11.07060050554274</v>
      </c>
      <c r="AU126" s="25">
        <f t="shared" si="188"/>
        <v>5.203182237605088</v>
      </c>
      <c r="AW126" s="25">
        <f t="shared" si="189"/>
        <v>0.6</v>
      </c>
      <c r="AX126" s="25">
        <f t="shared" si="134"/>
        <v>0.09066302900409313</v>
      </c>
      <c r="AY126" s="25">
        <f t="shared" si="190"/>
        <v>0.26968041951507243</v>
      </c>
      <c r="AZ126" s="25">
        <f t="shared" si="135"/>
        <v>0.6696106506441293</v>
      </c>
      <c r="BA126" s="25">
        <f t="shared" si="136"/>
        <v>0.06070892984079834</v>
      </c>
      <c r="BB126" s="25">
        <f t="shared" si="191"/>
        <v>0.3158796254116554</v>
      </c>
      <c r="BC126" s="25">
        <f t="shared" si="192"/>
        <v>1.4031963686507134</v>
      </c>
      <c r="BD126" s="25">
        <f t="shared" si="193"/>
        <v>3.484106243542719</v>
      </c>
      <c r="BG126" s="76">
        <f t="shared" si="206"/>
        <v>33359</v>
      </c>
      <c r="BH126" s="30">
        <f t="shared" si="194"/>
        <v>31</v>
      </c>
      <c r="BI126" s="27">
        <f>'PSP-1 Metdata'!D127</f>
        <v>16.250000476837158</v>
      </c>
      <c r="BJ126" s="28">
        <f>'PSP-1 Metdata'!E127</f>
        <v>24.200000762939453</v>
      </c>
      <c r="BK126" s="28">
        <f>'PSP-1 Metdata'!F127</f>
        <v>8.300000190734863</v>
      </c>
      <c r="BL126" s="28">
        <f>'PSP-1 Metdata'!G127</f>
        <v>0</v>
      </c>
      <c r="BM126" s="28">
        <f>'PSP-1 Metdata'!I127</f>
        <v>28.213226318359375</v>
      </c>
      <c r="BN126" s="28">
        <f>'PSP-1 Metdata'!J127</f>
        <v>0</v>
      </c>
      <c r="BO126" s="28">
        <f>'PSP-1 Metdata'!K127</f>
        <v>0</v>
      </c>
      <c r="BP126" s="25">
        <f>'PSP-1 Metdata'!L127</f>
        <v>30.195476210578164</v>
      </c>
      <c r="BQ126" s="25">
        <f>'PSP-1 Metdata'!M127</f>
        <v>10.948132070402389</v>
      </c>
      <c r="BR126" s="25">
        <f>'PSP-1 Metdata'!N127</f>
        <v>9.623672070087888</v>
      </c>
      <c r="BT126" s="25">
        <f t="shared" si="169"/>
        <v>51049.507507765746</v>
      </c>
      <c r="BU126" s="25">
        <f t="shared" si="195"/>
        <v>352.1312203894234</v>
      </c>
      <c r="BV126" s="25">
        <f t="shared" si="196"/>
        <v>0.2</v>
      </c>
      <c r="BW126" s="25">
        <f t="shared" si="197"/>
        <v>3534.0895458918917</v>
      </c>
      <c r="BX126" s="25">
        <f t="shared" si="198"/>
        <v>0.012200662276963559</v>
      </c>
      <c r="BY126" s="25">
        <f t="shared" si="137"/>
        <v>19.592552753273573</v>
      </c>
      <c r="BZ126" s="25">
        <f t="shared" si="138"/>
        <v>219.91918485602656</v>
      </c>
      <c r="CA126" s="27">
        <f t="shared" si="155"/>
        <v>4.563726048133923</v>
      </c>
      <c r="CB126" s="139">
        <f t="shared" si="170"/>
        <v>141.4755074921516</v>
      </c>
      <c r="CD126" s="27">
        <f>IF(CJ125&lt;'DadosReais&amp;Graficos'!MinASW,'DadosReais&amp;Graficos'!MinASW,IF(CJ125&gt;'DadosReais&amp;Graficos'!MaxASW,'DadosReais&amp;Graficos'!MaxASW,CJ125))</f>
        <v>117.79176284947775</v>
      </c>
      <c r="CE126" s="25">
        <f t="shared" si="199"/>
        <v>0</v>
      </c>
      <c r="CG126" s="27">
        <f t="shared" si="200"/>
        <v>117.79176284947775</v>
      </c>
      <c r="CH126" s="27">
        <f t="shared" si="171"/>
        <v>117.79176284947775</v>
      </c>
      <c r="CI126" s="27">
        <f>MAX(CG126-CH126-'DadosReais&amp;Graficos'!MaxASW,0)</f>
        <v>0</v>
      </c>
      <c r="CJ126" s="27">
        <f t="shared" si="172"/>
        <v>0</v>
      </c>
      <c r="CK126" s="27">
        <f>poolFractn*Month!CI126</f>
        <v>0</v>
      </c>
      <c r="CQ126" s="25">
        <f>SIN(PI()*'DadosReais&amp;Graficos'!Lat/180)</f>
        <v>0.6293203910498374</v>
      </c>
      <c r="CR126" s="25">
        <f>COS(PI()*'DadosReais&amp;Graficos'!Lat/180)</f>
        <v>0.7771459614569709</v>
      </c>
      <c r="CS126" s="25">
        <f t="shared" si="139"/>
        <v>1991</v>
      </c>
      <c r="CT126" s="29">
        <f t="shared" si="175"/>
        <v>33239</v>
      </c>
      <c r="CU126" s="30">
        <f t="shared" si="173"/>
        <v>5</v>
      </c>
      <c r="CV126" s="27">
        <f t="shared" si="201"/>
        <v>136</v>
      </c>
      <c r="CW126" s="25">
        <f t="shared" si="176"/>
        <v>0.328409053946799</v>
      </c>
      <c r="CX126" s="25">
        <f t="shared" si="140"/>
        <v>-0.2815567874772962</v>
      </c>
      <c r="CY126" s="25">
        <f t="shared" si="177"/>
        <v>0.5908507813398813</v>
      </c>
      <c r="CZ126" s="25">
        <f t="shared" si="178"/>
        <v>51049.507507765746</v>
      </c>
    </row>
    <row r="127" spans="1:104" ht="12.75">
      <c r="A127" s="149">
        <f t="shared" si="202"/>
        <v>33386</v>
      </c>
      <c r="B127" s="60">
        <f t="shared" si="141"/>
        <v>16.17</v>
      </c>
      <c r="C127" s="78">
        <f t="shared" si="142"/>
        <v>16.166666666666714</v>
      </c>
      <c r="D127" s="171">
        <f t="shared" si="160"/>
        <v>165356.83464728412</v>
      </c>
      <c r="E127" s="30">
        <f t="shared" si="179"/>
        <v>1111</v>
      </c>
      <c r="F127" s="27">
        <f t="shared" si="203"/>
        <v>8.811910408342516</v>
      </c>
      <c r="G127" s="27">
        <f t="shared" si="204"/>
        <v>39.407733427993016</v>
      </c>
      <c r="H127" s="27">
        <f t="shared" si="205"/>
        <v>201.1439094882991</v>
      </c>
      <c r="I127" s="27">
        <f t="shared" si="164"/>
        <v>209.95581989664163</v>
      </c>
      <c r="J127" s="27">
        <f t="shared" si="117"/>
        <v>249.36355332463464</v>
      </c>
      <c r="K127" s="27">
        <f t="shared" si="118"/>
        <v>4.000000000001806</v>
      </c>
      <c r="L127" s="27">
        <f t="shared" si="119"/>
        <v>3.524764163338598</v>
      </c>
      <c r="M127" s="27">
        <f t="shared" si="120"/>
        <v>12.493508290216589</v>
      </c>
      <c r="O127" s="25">
        <f t="shared" si="180"/>
        <v>0.013</v>
      </c>
      <c r="P127" s="25">
        <f t="shared" si="121"/>
        <v>0.1145548353084527</v>
      </c>
      <c r="Q127" s="25">
        <f t="shared" si="122"/>
        <v>0.3940773342799302</v>
      </c>
      <c r="S127" s="27">
        <f t="shared" si="174"/>
        <v>181.04762330179938</v>
      </c>
      <c r="T127" s="27">
        <f t="shared" si="181"/>
        <v>19.848955205176537</v>
      </c>
      <c r="U127" s="27">
        <f t="shared" si="123"/>
        <v>0.1522122054203477</v>
      </c>
      <c r="V127" s="27">
        <f t="shared" si="124"/>
        <v>0.45</v>
      </c>
      <c r="W127" s="27">
        <f t="shared" si="182"/>
        <v>378.949669818254</v>
      </c>
      <c r="X127" s="27">
        <f t="shared" si="183"/>
        <v>23.440185761953785</v>
      </c>
      <c r="Y127" s="27">
        <f t="shared" si="184"/>
        <v>34.377892052667036</v>
      </c>
      <c r="AA127" s="24">
        <f t="shared" si="185"/>
        <v>0.9599648620703487</v>
      </c>
      <c r="AB127" s="23">
        <f t="shared" si="125"/>
        <v>0.6849524331190224</v>
      </c>
      <c r="AC127" s="23">
        <f>IF('DadosReais&amp;Graficos'!soilClass&gt;0,0.8-0.1*'DadosReais&amp;Graficos'!soilClass,IF('DadosReais&amp;Graficos'!soilClass&lt;0,SWconst0,999))</f>
        <v>0.6000000000000001</v>
      </c>
      <c r="AD127" s="23">
        <f>IF('DadosReais&amp;Graficos'!soilClass&gt;0,11-2*'DadosReais&amp;Graficos'!soilClass,SWpower0)</f>
        <v>7</v>
      </c>
      <c r="AE127" s="24">
        <f>1/(1+((1-CD127/'DadosReais&amp;Graficos'!MaxASW)/AC127)^AD127)</f>
        <v>0.027231297938041656</v>
      </c>
      <c r="AF127" s="24">
        <f t="shared" si="126"/>
        <v>0.6</v>
      </c>
      <c r="AG127" s="27">
        <f t="shared" si="186"/>
        <v>1</v>
      </c>
      <c r="AH127" s="27">
        <f t="shared" si="127"/>
        <v>1</v>
      </c>
      <c r="AI127" s="27">
        <f t="shared" si="128"/>
        <v>0.9867590659562328</v>
      </c>
      <c r="AJ127" s="24">
        <f t="shared" si="129"/>
        <v>0.026870730118117872</v>
      </c>
      <c r="AM127" s="27">
        <f t="shared" si="165"/>
        <v>852.1900177001953</v>
      </c>
      <c r="AN127" s="27">
        <f t="shared" si="130"/>
        <v>1</v>
      </c>
      <c r="AO127" s="27">
        <f t="shared" si="131"/>
        <v>0.8283644733624973</v>
      </c>
      <c r="AP127" s="27">
        <f t="shared" si="132"/>
        <v>705.9239352169996</v>
      </c>
      <c r="AQ127" s="27">
        <f t="shared" si="133"/>
        <v>0.0014187226202362724</v>
      </c>
      <c r="AR127" s="27">
        <f t="shared" si="187"/>
        <v>0.07831348863704223</v>
      </c>
      <c r="AS127" s="27">
        <f t="shared" si="166"/>
        <v>0.7377011523262869</v>
      </c>
      <c r="AT127" s="25">
        <f t="shared" si="167"/>
        <v>0.4078260286112587</v>
      </c>
      <c r="AU127" s="25">
        <f t="shared" si="188"/>
        <v>0.1916782334472916</v>
      </c>
      <c r="AW127" s="25">
        <f t="shared" si="189"/>
        <v>0.6</v>
      </c>
      <c r="AX127" s="25">
        <f t="shared" si="134"/>
        <v>0.09035745833692325</v>
      </c>
      <c r="AY127" s="25">
        <f t="shared" si="190"/>
        <v>0.4818724303613578</v>
      </c>
      <c r="AZ127" s="25">
        <f t="shared" si="135"/>
        <v>0.4751905585429943</v>
      </c>
      <c r="BA127" s="25">
        <f t="shared" si="136"/>
        <v>0.04293701109564796</v>
      </c>
      <c r="BB127" s="25">
        <f t="shared" si="191"/>
        <v>0.008230090436320558</v>
      </c>
      <c r="BC127" s="25">
        <f t="shared" si="192"/>
        <v>0.0923644561986181</v>
      </c>
      <c r="BD127" s="25">
        <f t="shared" si="193"/>
        <v>0.09108368681235295</v>
      </c>
      <c r="BG127" s="76">
        <f t="shared" si="206"/>
        <v>33390</v>
      </c>
      <c r="BH127" s="30">
        <f t="shared" si="194"/>
        <v>30</v>
      </c>
      <c r="BI127" s="27">
        <f>'PSP-1 Metdata'!D128</f>
        <v>18.5</v>
      </c>
      <c r="BJ127" s="28">
        <f>'PSP-1 Metdata'!E128</f>
        <v>24.100000381469727</v>
      </c>
      <c r="BK127" s="28">
        <f>'PSP-1 Metdata'!F128</f>
        <v>12.899999618530273</v>
      </c>
      <c r="BL127" s="28">
        <f>'PSP-1 Metdata'!G128</f>
        <v>5.040000152587891</v>
      </c>
      <c r="BM127" s="28">
        <f>'PSP-1 Metdata'!I128</f>
        <v>28.406333923339844</v>
      </c>
      <c r="BN127" s="28">
        <f>'PSP-1 Metdata'!J128</f>
        <v>3</v>
      </c>
      <c r="BO127" s="28">
        <f>'PSP-1 Metdata'!K128</f>
        <v>0</v>
      </c>
      <c r="BP127" s="25">
        <f>'PSP-1 Metdata'!L128</f>
        <v>30.014995811927715</v>
      </c>
      <c r="BQ127" s="25">
        <f>'PSP-1 Metdata'!M128</f>
        <v>14.878760458600278</v>
      </c>
      <c r="BR127" s="25">
        <f>'PSP-1 Metdata'!N128</f>
        <v>7.568117676663719</v>
      </c>
      <c r="BT127" s="25">
        <f t="shared" si="169"/>
        <v>53082.57808162483</v>
      </c>
      <c r="BU127" s="25">
        <f t="shared" si="195"/>
        <v>338.10782670969087</v>
      </c>
      <c r="BV127" s="25">
        <f t="shared" si="196"/>
        <v>0.2</v>
      </c>
      <c r="BW127" s="25">
        <f t="shared" si="197"/>
        <v>2779.230772660006</v>
      </c>
      <c r="BX127" s="25">
        <f t="shared" si="198"/>
        <v>0.0005374146023623574</v>
      </c>
      <c r="BY127" s="25">
        <f t="shared" si="137"/>
        <v>375.3521505386039</v>
      </c>
      <c r="BZ127" s="25">
        <f t="shared" si="138"/>
        <v>9.38603385211986</v>
      </c>
      <c r="CA127" s="27">
        <f t="shared" si="155"/>
        <v>0.20253450196419773</v>
      </c>
      <c r="CB127" s="139">
        <f t="shared" si="170"/>
        <v>6.076035058925932</v>
      </c>
      <c r="CD127" s="27">
        <f>IF(CJ126&lt;'DadosReais&amp;Graficos'!MinASW,'DadosReais&amp;Graficos'!MinASW,IF(CJ126&gt;'DadosReais&amp;Graficos'!MaxASW,'DadosReais&amp;Graficos'!MaxASW,CJ126))</f>
        <v>0</v>
      </c>
      <c r="CE127" s="25">
        <f t="shared" si="199"/>
        <v>0.7560000228881836</v>
      </c>
      <c r="CG127" s="27">
        <f t="shared" si="200"/>
        <v>5.040000152587891</v>
      </c>
      <c r="CH127" s="27">
        <f t="shared" si="171"/>
        <v>5.040000152587891</v>
      </c>
      <c r="CI127" s="27">
        <f>MAX(CG127-CH127-'DadosReais&amp;Graficos'!MaxASW,0)</f>
        <v>0</v>
      </c>
      <c r="CJ127" s="27">
        <f t="shared" si="172"/>
        <v>0</v>
      </c>
      <c r="CK127" s="27">
        <f>poolFractn*Month!CI127</f>
        <v>0</v>
      </c>
      <c r="CQ127" s="25">
        <f>SIN(PI()*'DadosReais&amp;Graficos'!Lat/180)</f>
        <v>0.6293203910498374</v>
      </c>
      <c r="CR127" s="25">
        <f>COS(PI()*'DadosReais&amp;Graficos'!Lat/180)</f>
        <v>0.7771459614569709</v>
      </c>
      <c r="CS127" s="25">
        <f t="shared" si="139"/>
        <v>1991</v>
      </c>
      <c r="CT127" s="29">
        <f t="shared" si="175"/>
        <v>33239</v>
      </c>
      <c r="CU127" s="30">
        <f t="shared" si="173"/>
        <v>6</v>
      </c>
      <c r="CV127" s="27">
        <f t="shared" si="201"/>
        <v>166</v>
      </c>
      <c r="CW127" s="25">
        <f t="shared" si="176"/>
        <v>0.3983231954255811</v>
      </c>
      <c r="CX127" s="25">
        <f t="shared" si="140"/>
        <v>-0.3516571006926921</v>
      </c>
      <c r="CY127" s="25">
        <f t="shared" si="177"/>
        <v>0.6143816907595466</v>
      </c>
      <c r="CZ127" s="25">
        <f t="shared" si="178"/>
        <v>53082.57808162483</v>
      </c>
    </row>
    <row r="128" spans="1:104" ht="12.75">
      <c r="A128" s="149">
        <f t="shared" si="202"/>
        <v>33417</v>
      </c>
      <c r="B128" s="60">
        <f t="shared" si="141"/>
        <v>16.25</v>
      </c>
      <c r="C128" s="78">
        <f t="shared" si="142"/>
        <v>16.250000000000046</v>
      </c>
      <c r="D128" s="171">
        <f t="shared" si="160"/>
        <v>165683.1378394078</v>
      </c>
      <c r="E128" s="30">
        <f t="shared" si="179"/>
        <v>1111</v>
      </c>
      <c r="F128" s="27">
        <f t="shared" si="203"/>
        <v>8.705585663470384</v>
      </c>
      <c r="G128" s="27">
        <f t="shared" si="204"/>
        <v>39.106020549911705</v>
      </c>
      <c r="H128" s="27">
        <f t="shared" si="205"/>
        <v>201.23499317511144</v>
      </c>
      <c r="I128" s="27">
        <f t="shared" si="164"/>
        <v>209.9405788385818</v>
      </c>
      <c r="J128" s="27">
        <f t="shared" si="117"/>
        <v>249.04659938849352</v>
      </c>
      <c r="K128" s="27">
        <f t="shared" si="118"/>
        <v>4.0000000000013385</v>
      </c>
      <c r="L128" s="27">
        <f t="shared" si="119"/>
        <v>3.482234265389319</v>
      </c>
      <c r="M128" s="27">
        <f t="shared" si="120"/>
        <v>12.608063125525042</v>
      </c>
      <c r="O128" s="25">
        <f t="shared" si="180"/>
        <v>0.013</v>
      </c>
      <c r="P128" s="25">
        <f t="shared" si="121"/>
        <v>0.11317261362511498</v>
      </c>
      <c r="Q128" s="25">
        <f t="shared" si="122"/>
        <v>0.3910602054991171</v>
      </c>
      <c r="S128" s="27">
        <f t="shared" si="174"/>
        <v>181.12960681828213</v>
      </c>
      <c r="T128" s="27">
        <f t="shared" si="181"/>
        <v>19.852276056955127</v>
      </c>
      <c r="U128" s="27">
        <f t="shared" si="123"/>
        <v>0.1521492282262609</v>
      </c>
      <c r="V128" s="27">
        <f t="shared" si="124"/>
        <v>0.45</v>
      </c>
      <c r="W128" s="27">
        <f t="shared" si="182"/>
        <v>379.1494317142253</v>
      </c>
      <c r="X128" s="27">
        <f t="shared" si="183"/>
        <v>23.332272720875334</v>
      </c>
      <c r="Y128" s="27">
        <f t="shared" si="184"/>
        <v>34.38939627875305</v>
      </c>
      <c r="AA128" s="24">
        <f t="shared" si="185"/>
        <v>0.8562348669727344</v>
      </c>
      <c r="AB128" s="23">
        <f t="shared" si="125"/>
        <v>0.6182357308944245</v>
      </c>
      <c r="AC128" s="23">
        <f>IF('DadosReais&amp;Graficos'!soilClass&gt;0,0.8-0.1*'DadosReais&amp;Graficos'!soilClass,IF('DadosReais&amp;Graficos'!soilClass&lt;0,SWconst0,999))</f>
        <v>0.6000000000000001</v>
      </c>
      <c r="AD128" s="23">
        <f>IF('DadosReais&amp;Graficos'!soilClass&gt;0,11-2*'DadosReais&amp;Graficos'!soilClass,SWpower0)</f>
        <v>7</v>
      </c>
      <c r="AE128" s="24">
        <f>1/(1+((1-CD128/'DadosReais&amp;Graficos'!MaxASW)/AC128)^AD128)</f>
        <v>0.027231297938041656</v>
      </c>
      <c r="AF128" s="24">
        <f t="shared" si="126"/>
        <v>0.6</v>
      </c>
      <c r="AG128" s="27">
        <f t="shared" si="186"/>
        <v>1</v>
      </c>
      <c r="AH128" s="27">
        <f t="shared" si="127"/>
        <v>1</v>
      </c>
      <c r="AI128" s="27">
        <f t="shared" si="128"/>
        <v>0.9864876564616403</v>
      </c>
      <c r="AJ128" s="24">
        <f t="shared" si="129"/>
        <v>0.02686333928530741</v>
      </c>
      <c r="AM128" s="27">
        <f t="shared" si="165"/>
        <v>859.2199935913086</v>
      </c>
      <c r="AN128" s="27">
        <f t="shared" si="130"/>
        <v>1</v>
      </c>
      <c r="AO128" s="27">
        <f t="shared" si="131"/>
        <v>0.8246755694784311</v>
      </c>
      <c r="AP128" s="27">
        <f t="shared" si="132"/>
        <v>708.5777375221663</v>
      </c>
      <c r="AQ128" s="27">
        <f t="shared" si="133"/>
        <v>0.0012650730256669241</v>
      </c>
      <c r="AR128" s="27">
        <f t="shared" si="187"/>
        <v>0.0698320310168142</v>
      </c>
      <c r="AS128" s="27">
        <f t="shared" si="166"/>
        <v>0.39381395619749104</v>
      </c>
      <c r="AT128" s="25">
        <f t="shared" si="167"/>
        <v>0.19486474770518225</v>
      </c>
      <c r="AU128" s="25">
        <f t="shared" si="188"/>
        <v>0.09158643142143565</v>
      </c>
      <c r="AW128" s="25">
        <f t="shared" si="189"/>
        <v>0.6</v>
      </c>
      <c r="AX128" s="25">
        <f t="shared" si="134"/>
        <v>0.09034955479952202</v>
      </c>
      <c r="AY128" s="25">
        <f t="shared" si="190"/>
        <v>0.48187723565464075</v>
      </c>
      <c r="AZ128" s="25">
        <f t="shared" si="135"/>
        <v>0.47518959590956517</v>
      </c>
      <c r="BA128" s="25">
        <f t="shared" si="136"/>
        <v>0.042933168435794034</v>
      </c>
      <c r="BB128" s="25">
        <f t="shared" si="191"/>
        <v>0.003932095686649796</v>
      </c>
      <c r="BC128" s="25">
        <f t="shared" si="192"/>
        <v>0.04413341639683474</v>
      </c>
      <c r="BD128" s="25">
        <f t="shared" si="193"/>
        <v>0.04352091933795111</v>
      </c>
      <c r="BG128" s="76">
        <f t="shared" si="206"/>
        <v>33420</v>
      </c>
      <c r="BH128" s="30">
        <f t="shared" si="194"/>
        <v>31</v>
      </c>
      <c r="BI128" s="27">
        <f>'PSP-1 Metdata'!D129</f>
        <v>21.000000476837158</v>
      </c>
      <c r="BJ128" s="28">
        <f>'PSP-1 Metdata'!E129</f>
        <v>27.200000762939453</v>
      </c>
      <c r="BK128" s="28">
        <f>'PSP-1 Metdata'!F129</f>
        <v>14.800000190734863</v>
      </c>
      <c r="BL128" s="28">
        <f>'PSP-1 Metdata'!G129</f>
        <v>3.1200000762939455</v>
      </c>
      <c r="BM128" s="28">
        <f>'PSP-1 Metdata'!I129</f>
        <v>27.716773986816406</v>
      </c>
      <c r="BN128" s="28">
        <f>'PSP-1 Metdata'!J129</f>
        <v>2</v>
      </c>
      <c r="BO128" s="28">
        <f>'PSP-1 Metdata'!K129</f>
        <v>0</v>
      </c>
      <c r="BP128" s="25">
        <f>'PSP-1 Metdata'!L129</f>
        <v>36.068994071010884</v>
      </c>
      <c r="BQ128" s="25">
        <f>'PSP-1 Metdata'!M129</f>
        <v>16.833575963888826</v>
      </c>
      <c r="BR128" s="25">
        <f>'PSP-1 Metdata'!N129</f>
        <v>9.617709053561029</v>
      </c>
      <c r="BT128" s="25">
        <f t="shared" si="169"/>
        <v>51987.026278968784</v>
      </c>
      <c r="BU128" s="25">
        <f t="shared" si="195"/>
        <v>336.5183215225243</v>
      </c>
      <c r="BV128" s="25">
        <f t="shared" si="196"/>
        <v>0.2</v>
      </c>
      <c r="BW128" s="25">
        <f t="shared" si="197"/>
        <v>3531.8997544883528</v>
      </c>
      <c r="BX128" s="25">
        <f t="shared" si="198"/>
        <v>0.0005372667857061483</v>
      </c>
      <c r="BY128" s="25">
        <f t="shared" si="137"/>
        <v>375.4545396829866</v>
      </c>
      <c r="BZ128" s="25">
        <f t="shared" si="138"/>
        <v>11.378847797246381</v>
      </c>
      <c r="CA128" s="27">
        <f t="shared" si="155"/>
        <v>0.24046847945521696</v>
      </c>
      <c r="CB128" s="139">
        <f t="shared" si="170"/>
        <v>7.454522863111726</v>
      </c>
      <c r="CD128" s="27">
        <f>IF(CJ127&lt;'DadosReais&amp;Graficos'!MinASW,'DadosReais&amp;Graficos'!MinASW,IF(CJ127&gt;'DadosReais&amp;Graficos'!MaxASW,'DadosReais&amp;Graficos'!MaxASW,CJ127))</f>
        <v>0</v>
      </c>
      <c r="CE128" s="25">
        <f t="shared" si="199"/>
        <v>0.4680000114440918</v>
      </c>
      <c r="CG128" s="27">
        <f t="shared" si="200"/>
        <v>3.1200000762939455</v>
      </c>
      <c r="CH128" s="27">
        <f t="shared" si="171"/>
        <v>3.1200000762939455</v>
      </c>
      <c r="CI128" s="27">
        <f>MAX(CG128-CH128-'DadosReais&amp;Graficos'!MaxASW,0)</f>
        <v>0</v>
      </c>
      <c r="CJ128" s="27">
        <f t="shared" si="172"/>
        <v>0</v>
      </c>
      <c r="CK128" s="27">
        <f>poolFractn*Month!CI128</f>
        <v>0</v>
      </c>
      <c r="CQ128" s="25">
        <f>SIN(PI()*'DadosReais&amp;Graficos'!Lat/180)</f>
        <v>0.6293203910498374</v>
      </c>
      <c r="CR128" s="25">
        <f>COS(PI()*'DadosReais&amp;Graficos'!Lat/180)</f>
        <v>0.7771459614569709</v>
      </c>
      <c r="CS128" s="25">
        <f t="shared" si="139"/>
        <v>1991</v>
      </c>
      <c r="CT128" s="29">
        <f t="shared" si="175"/>
        <v>33239</v>
      </c>
      <c r="CU128" s="30">
        <f t="shared" si="173"/>
        <v>7</v>
      </c>
      <c r="CV128" s="27">
        <f t="shared" si="201"/>
        <v>197</v>
      </c>
      <c r="CW128" s="25">
        <f t="shared" si="176"/>
        <v>0.3616269729601193</v>
      </c>
      <c r="CX128" s="25">
        <f t="shared" si="140"/>
        <v>-0.3140969275246581</v>
      </c>
      <c r="CY128" s="25">
        <f t="shared" si="177"/>
        <v>0.6017016930436202</v>
      </c>
      <c r="CZ128" s="25">
        <f t="shared" si="178"/>
        <v>51987.026278968784</v>
      </c>
    </row>
    <row r="129" spans="1:104" ht="12.75">
      <c r="A129" s="149">
        <f t="shared" si="202"/>
        <v>33447</v>
      </c>
      <c r="B129" s="60">
        <f t="shared" si="141"/>
        <v>16.33</v>
      </c>
      <c r="C129" s="78">
        <f t="shared" si="142"/>
        <v>16.33333333333338</v>
      </c>
      <c r="D129" s="171">
        <f t="shared" si="160"/>
        <v>166109.54622974</v>
      </c>
      <c r="E129" s="30">
        <f t="shared" si="179"/>
        <v>1111</v>
      </c>
      <c r="F129" s="27">
        <f t="shared" si="203"/>
        <v>8.596345145531918</v>
      </c>
      <c r="G129" s="27">
        <f t="shared" si="204"/>
        <v>38.75909376080942</v>
      </c>
      <c r="H129" s="27">
        <f t="shared" si="205"/>
        <v>201.2785140944494</v>
      </c>
      <c r="I129" s="27">
        <f t="shared" si="164"/>
        <v>209.87485923998133</v>
      </c>
      <c r="J129" s="27">
        <f t="shared" si="117"/>
        <v>248.63395300079074</v>
      </c>
      <c r="K129" s="27">
        <f t="shared" si="118"/>
        <v>4.00000000000099</v>
      </c>
      <c r="L129" s="27">
        <f t="shared" si="119"/>
        <v>3.4385380582136187</v>
      </c>
      <c r="M129" s="27">
        <f t="shared" si="120"/>
        <v>12.721235739150158</v>
      </c>
      <c r="O129" s="25">
        <f t="shared" si="180"/>
        <v>0.013</v>
      </c>
      <c r="P129" s="25">
        <f t="shared" si="121"/>
        <v>0.11175248689191493</v>
      </c>
      <c r="Q129" s="25">
        <f t="shared" si="122"/>
        <v>0.3875909376080942</v>
      </c>
      <c r="S129" s="27">
        <f t="shared" si="174"/>
        <v>181.16877956296076</v>
      </c>
      <c r="T129" s="27">
        <f t="shared" si="181"/>
        <v>19.853862466693897</v>
      </c>
      <c r="U129" s="27">
        <f t="shared" si="123"/>
        <v>0.15208804387064137</v>
      </c>
      <c r="V129" s="27">
        <f t="shared" si="124"/>
        <v>0.45</v>
      </c>
      <c r="W129" s="27">
        <f t="shared" si="182"/>
        <v>379.2587969169673</v>
      </c>
      <c r="X129" s="27">
        <f t="shared" si="183"/>
        <v>23.21992634185508</v>
      </c>
      <c r="Y129" s="27">
        <f t="shared" si="184"/>
        <v>34.39489266141488</v>
      </c>
      <c r="AA129" s="24">
        <f t="shared" si="185"/>
        <v>0.8406288955039616</v>
      </c>
      <c r="AB129" s="23">
        <f t="shared" si="125"/>
        <v>0.5937890531320644</v>
      </c>
      <c r="AC129" s="23">
        <f>IF('DadosReais&amp;Graficos'!soilClass&gt;0,0.8-0.1*'DadosReais&amp;Graficos'!soilClass,IF('DadosReais&amp;Graficos'!soilClass&lt;0,SWconst0,999))</f>
        <v>0.6000000000000001</v>
      </c>
      <c r="AD129" s="23">
        <f>IF('DadosReais&amp;Graficos'!soilClass&gt;0,11-2*'DadosReais&amp;Graficos'!soilClass,SWpower0)</f>
        <v>7</v>
      </c>
      <c r="AE129" s="24">
        <f>1/(1+((1-CD129/'DadosReais&amp;Graficos'!MaxASW)/AC129)^AD129)</f>
        <v>0.027231297938041656</v>
      </c>
      <c r="AF129" s="24">
        <f t="shared" si="126"/>
        <v>0.6</v>
      </c>
      <c r="AG129" s="27">
        <f t="shared" si="186"/>
        <v>1</v>
      </c>
      <c r="AH129" s="27">
        <f t="shared" si="127"/>
        <v>1</v>
      </c>
      <c r="AI129" s="27">
        <f t="shared" si="128"/>
        <v>0.9862121919113446</v>
      </c>
      <c r="AJ129" s="24">
        <f t="shared" si="129"/>
        <v>0.02685583802806694</v>
      </c>
      <c r="AM129" s="27">
        <f t="shared" si="165"/>
        <v>764.9200096130371</v>
      </c>
      <c r="AN129" s="27">
        <f t="shared" si="130"/>
        <v>1</v>
      </c>
      <c r="AO129" s="27">
        <f t="shared" si="131"/>
        <v>0.8208029120955962</v>
      </c>
      <c r="AP129" s="27">
        <f t="shared" si="132"/>
        <v>627.8485714105723</v>
      </c>
      <c r="AQ129" s="27">
        <f t="shared" si="133"/>
        <v>0.0012416686402651961</v>
      </c>
      <c r="AR129" s="27">
        <f t="shared" si="187"/>
        <v>0.06854010894263882</v>
      </c>
      <c r="AS129" s="27">
        <f t="shared" si="166"/>
        <v>1</v>
      </c>
      <c r="AT129" s="25">
        <f t="shared" si="167"/>
        <v>0.4303280948396077</v>
      </c>
      <c r="AU129" s="25">
        <f t="shared" si="188"/>
        <v>0.20225420457461563</v>
      </c>
      <c r="AW129" s="25">
        <f t="shared" si="189"/>
        <v>0.6</v>
      </c>
      <c r="AX129" s="25">
        <f t="shared" si="134"/>
        <v>0.09034577989786238</v>
      </c>
      <c r="AY129" s="25">
        <f t="shared" si="190"/>
        <v>0.4818821128405058</v>
      </c>
      <c r="AZ129" s="25">
        <f t="shared" si="135"/>
        <v>0.47518676800677734</v>
      </c>
      <c r="BA129" s="25">
        <f t="shared" si="136"/>
        <v>0.04293111915271691</v>
      </c>
      <c r="BB129" s="25">
        <f t="shared" si="191"/>
        <v>0.008682999355730806</v>
      </c>
      <c r="BC129" s="25">
        <f t="shared" si="192"/>
        <v>0.09746268343129168</v>
      </c>
      <c r="BD129" s="25">
        <f t="shared" si="193"/>
        <v>0.09610852178759316</v>
      </c>
      <c r="BG129" s="76">
        <f t="shared" si="206"/>
        <v>33451</v>
      </c>
      <c r="BH129" s="30">
        <f t="shared" si="194"/>
        <v>31</v>
      </c>
      <c r="BI129" s="27">
        <f>'PSP-1 Metdata'!D130</f>
        <v>21.299999713897705</v>
      </c>
      <c r="BJ129" s="28">
        <f>'PSP-1 Metdata'!E130</f>
        <v>27.899999618530273</v>
      </c>
      <c r="BK129" s="28">
        <f>'PSP-1 Metdata'!F130</f>
        <v>14.699999809265137</v>
      </c>
      <c r="BL129" s="28">
        <f>'PSP-1 Metdata'!G130</f>
        <v>58.64000244140625</v>
      </c>
      <c r="BM129" s="28">
        <f>'PSP-1 Metdata'!I130</f>
        <v>24.67483901977539</v>
      </c>
      <c r="BN129" s="28">
        <f>'PSP-1 Metdata'!J130</f>
        <v>5</v>
      </c>
      <c r="BO129" s="28">
        <f>'PSP-1 Metdata'!K130</f>
        <v>0</v>
      </c>
      <c r="BP129" s="25">
        <f>'PSP-1 Metdata'!L130</f>
        <v>37.574586573162534</v>
      </c>
      <c r="BQ129" s="25">
        <f>'PSP-1 Metdata'!M130</f>
        <v>16.72534048915564</v>
      </c>
      <c r="BR129" s="25">
        <f>'PSP-1 Metdata'!N130</f>
        <v>10.424623042003446</v>
      </c>
      <c r="BT129" s="25">
        <f t="shared" si="169"/>
        <v>48361.75661678577</v>
      </c>
      <c r="BU129" s="25">
        <f t="shared" si="195"/>
        <v>318.1710962700814</v>
      </c>
      <c r="BV129" s="25">
        <f t="shared" si="196"/>
        <v>0.2</v>
      </c>
      <c r="BW129" s="25">
        <f t="shared" si="197"/>
        <v>3828.2218101672756</v>
      </c>
      <c r="BX129" s="25">
        <f t="shared" si="198"/>
        <v>0.0005371167605613389</v>
      </c>
      <c r="BY129" s="25">
        <f t="shared" si="137"/>
        <v>375.5585162209064</v>
      </c>
      <c r="BZ129" s="25">
        <f t="shared" si="138"/>
        <v>12.057237491315291</v>
      </c>
      <c r="CA129" s="27">
        <f t="shared" si="155"/>
        <v>0.2370362540755182</v>
      </c>
      <c r="CB129" s="139">
        <f t="shared" si="170"/>
        <v>7.348123876341065</v>
      </c>
      <c r="CD129" s="27">
        <f>IF(CJ128&lt;'DadosReais&amp;Graficos'!MinASW,'DadosReais&amp;Graficos'!MinASW,IF(CJ128&gt;'DadosReais&amp;Graficos'!MaxASW,'DadosReais&amp;Graficos'!MaxASW,CJ128))</f>
        <v>0</v>
      </c>
      <c r="CE129" s="25">
        <f t="shared" si="199"/>
        <v>8.796000366210938</v>
      </c>
      <c r="CG129" s="27">
        <f t="shared" si="200"/>
        <v>58.64000244140625</v>
      </c>
      <c r="CH129" s="27">
        <f t="shared" si="171"/>
        <v>16.144124242552003</v>
      </c>
      <c r="CI129" s="27">
        <f>MAX(CG129-CH129-'DadosReais&amp;Graficos'!MaxASW,0)</f>
        <v>0</v>
      </c>
      <c r="CJ129" s="27">
        <f t="shared" si="172"/>
        <v>42.49587819885425</v>
      </c>
      <c r="CK129" s="27">
        <f>poolFractn*Month!CI129</f>
        <v>0</v>
      </c>
      <c r="CQ129" s="25">
        <f>SIN(PI()*'DadosReais&amp;Graficos'!Lat/180)</f>
        <v>0.6293203910498374</v>
      </c>
      <c r="CR129" s="25">
        <f>COS(PI()*'DadosReais&amp;Graficos'!Lat/180)</f>
        <v>0.7771459614569709</v>
      </c>
      <c r="CS129" s="25">
        <f t="shared" si="139"/>
        <v>1991</v>
      </c>
      <c r="CT129" s="29">
        <f t="shared" si="175"/>
        <v>33239</v>
      </c>
      <c r="CU129" s="30">
        <f t="shared" si="173"/>
        <v>8</v>
      </c>
      <c r="CV129" s="27">
        <f t="shared" si="201"/>
        <v>228</v>
      </c>
      <c r="CW129" s="25">
        <f t="shared" si="176"/>
        <v>0.2245322171168967</v>
      </c>
      <c r="CX129" s="25">
        <f t="shared" si="140"/>
        <v>-0.18658678708195917</v>
      </c>
      <c r="CY129" s="25">
        <f t="shared" si="177"/>
        <v>0.5597425534350206</v>
      </c>
      <c r="CZ129" s="25">
        <f t="shared" si="178"/>
        <v>48361.75661678577</v>
      </c>
    </row>
    <row r="130" spans="1:104" ht="12.75">
      <c r="A130" s="149">
        <f t="shared" si="202"/>
        <v>33478</v>
      </c>
      <c r="B130" s="60">
        <f t="shared" si="141"/>
        <v>16.42</v>
      </c>
      <c r="C130" s="78">
        <f t="shared" si="142"/>
        <v>16.41666666666671</v>
      </c>
      <c r="D130" s="171">
        <f t="shared" si="160"/>
        <v>166417.66263281368</v>
      </c>
      <c r="E130" s="30">
        <f t="shared" si="179"/>
        <v>1111</v>
      </c>
      <c r="F130" s="27">
        <f t="shared" si="203"/>
        <v>8.493275657995735</v>
      </c>
      <c r="G130" s="27">
        <f t="shared" si="204"/>
        <v>38.468965506632614</v>
      </c>
      <c r="H130" s="27">
        <f t="shared" si="205"/>
        <v>201.374622616237</v>
      </c>
      <c r="I130" s="27">
        <f t="shared" si="164"/>
        <v>209.86789827423272</v>
      </c>
      <c r="J130" s="27">
        <f t="shared" si="117"/>
        <v>248.33686378086534</v>
      </c>
      <c r="K130" s="27">
        <f t="shared" si="118"/>
        <v>4.000000000000732</v>
      </c>
      <c r="L130" s="27">
        <f t="shared" si="119"/>
        <v>3.397310263198916</v>
      </c>
      <c r="M130" s="27">
        <f t="shared" si="120"/>
        <v>12.832988226042072</v>
      </c>
      <c r="O130" s="25">
        <f t="shared" si="180"/>
        <v>0.013</v>
      </c>
      <c r="P130" s="25">
        <f t="shared" si="121"/>
        <v>0.11041258355394455</v>
      </c>
      <c r="Q130" s="25">
        <f t="shared" si="122"/>
        <v>0.38468965506632613</v>
      </c>
      <c r="S130" s="27">
        <f t="shared" si="174"/>
        <v>181.25528588320162</v>
      </c>
      <c r="T130" s="27">
        <f t="shared" si="181"/>
        <v>19.85736501585558</v>
      </c>
      <c r="U130" s="27">
        <f t="shared" si="123"/>
        <v>0.15202860131485813</v>
      </c>
      <c r="V130" s="27">
        <f t="shared" si="124"/>
        <v>0.45</v>
      </c>
      <c r="W130" s="27">
        <f t="shared" si="182"/>
        <v>379.4664897768513</v>
      </c>
      <c r="X130" s="27">
        <f t="shared" si="183"/>
        <v>23.114710037168546</v>
      </c>
      <c r="Y130" s="27">
        <f t="shared" si="184"/>
        <v>34.40702938585233</v>
      </c>
      <c r="AA130" s="24">
        <f t="shared" si="185"/>
        <v>0.91456756191079</v>
      </c>
      <c r="AB130" s="23">
        <f t="shared" si="125"/>
        <v>0.6694685616324197</v>
      </c>
      <c r="AC130" s="23">
        <f>IF('DadosReais&amp;Graficos'!soilClass&gt;0,0.8-0.1*'DadosReais&amp;Graficos'!soilClass,IF('DadosReais&amp;Graficos'!soilClass&lt;0,SWconst0,999))</f>
        <v>0.6000000000000001</v>
      </c>
      <c r="AD130" s="23">
        <f>IF('DadosReais&amp;Graficos'!soilClass&gt;0,11-2*'DadosReais&amp;Graficos'!soilClass,SWpower0)</f>
        <v>7</v>
      </c>
      <c r="AE130" s="24">
        <f>1/(1+((1-CD130/'DadosReais&amp;Graficos'!MaxASW)/AC130)^AD130)</f>
        <v>0.1296881134401243</v>
      </c>
      <c r="AF130" s="24">
        <f t="shared" si="126"/>
        <v>0.6</v>
      </c>
      <c r="AG130" s="27">
        <f t="shared" si="186"/>
        <v>1</v>
      </c>
      <c r="AH130" s="27">
        <f t="shared" si="127"/>
        <v>1</v>
      </c>
      <c r="AI130" s="27">
        <f t="shared" si="128"/>
        <v>0.9859326360164408</v>
      </c>
      <c r="AJ130" s="24">
        <f t="shared" si="129"/>
        <v>0.12786374354402094</v>
      </c>
      <c r="AM130" s="27">
        <f t="shared" si="165"/>
        <v>574.2600059509277</v>
      </c>
      <c r="AN130" s="27">
        <f t="shared" si="130"/>
        <v>1</v>
      </c>
      <c r="AO130" s="27">
        <f t="shared" si="131"/>
        <v>0.8170706253671842</v>
      </c>
      <c r="AP130" s="27">
        <f t="shared" si="132"/>
        <v>469.21098218568744</v>
      </c>
      <c r="AQ130" s="27">
        <f t="shared" si="133"/>
        <v>0.0064317017704412964</v>
      </c>
      <c r="AR130" s="27">
        <f t="shared" si="187"/>
        <v>0.35502993772835956</v>
      </c>
      <c r="AS130" s="27">
        <f t="shared" si="166"/>
        <v>1</v>
      </c>
      <c r="AT130" s="25">
        <f t="shared" si="167"/>
        <v>1.6658394578684703</v>
      </c>
      <c r="AU130" s="25">
        <f t="shared" si="188"/>
        <v>0.782944545198181</v>
      </c>
      <c r="AW130" s="25">
        <f t="shared" si="189"/>
        <v>0.6</v>
      </c>
      <c r="AX130" s="25">
        <f t="shared" si="134"/>
        <v>0.09033744712092881</v>
      </c>
      <c r="AY130" s="25">
        <f t="shared" si="190"/>
        <v>0.42408488638493413</v>
      </c>
      <c r="AZ130" s="25">
        <f t="shared" si="135"/>
        <v>0.5281989673341847</v>
      </c>
      <c r="BA130" s="25">
        <f t="shared" si="136"/>
        <v>0.047716146280881166</v>
      </c>
      <c r="BB130" s="25">
        <f t="shared" si="191"/>
        <v>0.03735909644849438</v>
      </c>
      <c r="BC130" s="25">
        <f t="shared" si="192"/>
        <v>0.3320349484960745</v>
      </c>
      <c r="BD130" s="25">
        <f t="shared" si="193"/>
        <v>0.4135505002536121</v>
      </c>
      <c r="BG130" s="76">
        <f t="shared" si="206"/>
        <v>33482</v>
      </c>
      <c r="BH130" s="30">
        <f t="shared" si="194"/>
        <v>30</v>
      </c>
      <c r="BI130" s="27">
        <f>'PSP-1 Metdata'!D131</f>
        <v>19.749999523162842</v>
      </c>
      <c r="BJ130" s="28">
        <f>'PSP-1 Metdata'!E131</f>
        <v>25.299999237060547</v>
      </c>
      <c r="BK130" s="28">
        <f>'PSP-1 Metdata'!F131</f>
        <v>14.199999809265137</v>
      </c>
      <c r="BL130" s="28">
        <f>'PSP-1 Metdata'!G131</f>
        <v>46.879998779296876</v>
      </c>
      <c r="BM130" s="28">
        <f>'PSP-1 Metdata'!I131</f>
        <v>19.142000198364258</v>
      </c>
      <c r="BN130" s="28">
        <f>'PSP-1 Metdata'!J131</f>
        <v>7</v>
      </c>
      <c r="BO130" s="28">
        <f>'PSP-1 Metdata'!K131</f>
        <v>0</v>
      </c>
      <c r="BP130" s="25">
        <f>'PSP-1 Metdata'!L131</f>
        <v>32.244111824970304</v>
      </c>
      <c r="BQ130" s="25">
        <f>'PSP-1 Metdata'!M131</f>
        <v>16.19326890763327</v>
      </c>
      <c r="BR130" s="25">
        <f>'PSP-1 Metdata'!N131</f>
        <v>8.025421458668516</v>
      </c>
      <c r="BT130" s="25">
        <f t="shared" si="169"/>
        <v>43912.27946472623</v>
      </c>
      <c r="BU130" s="25">
        <f t="shared" si="195"/>
        <v>258.73161551525664</v>
      </c>
      <c r="BV130" s="25">
        <f t="shared" si="196"/>
        <v>0.2</v>
      </c>
      <c r="BW130" s="25">
        <f t="shared" si="197"/>
        <v>2947.1658917610894</v>
      </c>
      <c r="BX130" s="25">
        <f t="shared" si="198"/>
        <v>0.002557274870880419</v>
      </c>
      <c r="BY130" s="25">
        <f t="shared" si="137"/>
        <v>81.40825296388417</v>
      </c>
      <c r="BZ130" s="25">
        <f t="shared" si="138"/>
        <v>43.19433617442514</v>
      </c>
      <c r="CA130" s="27">
        <f t="shared" si="155"/>
        <v>0.7710413664165408</v>
      </c>
      <c r="CB130" s="139">
        <f t="shared" si="170"/>
        <v>23.131240992496224</v>
      </c>
      <c r="CD130" s="27">
        <f>IF(CJ129&lt;'DadosReais&amp;Graficos'!MinASW,'DadosReais&amp;Graficos'!MinASW,IF(CJ129&gt;'DadosReais&amp;Graficos'!MaxASW,'DadosReais&amp;Graficos'!MaxASW,CJ129))</f>
        <v>42.49587819885425</v>
      </c>
      <c r="CE130" s="25">
        <f t="shared" si="199"/>
        <v>7.0319998168945315</v>
      </c>
      <c r="CG130" s="27">
        <f t="shared" si="200"/>
        <v>89.37587697815113</v>
      </c>
      <c r="CH130" s="27">
        <f t="shared" si="171"/>
        <v>30.163240809390757</v>
      </c>
      <c r="CI130" s="27">
        <f>MAX(CG130-CH130-'DadosReais&amp;Graficos'!MaxASW,0)</f>
        <v>0</v>
      </c>
      <c r="CJ130" s="27">
        <f t="shared" si="172"/>
        <v>59.21263616876037</v>
      </c>
      <c r="CK130" s="27">
        <f>poolFractn*Month!CI130</f>
        <v>0</v>
      </c>
      <c r="CQ130" s="25">
        <f>SIN(PI()*'DadosReais&amp;Graficos'!Lat/180)</f>
        <v>0.6293203910498374</v>
      </c>
      <c r="CR130" s="25">
        <f>COS(PI()*'DadosReais&amp;Graficos'!Lat/180)</f>
        <v>0.7771459614569709</v>
      </c>
      <c r="CS130" s="25">
        <f t="shared" si="139"/>
        <v>1991</v>
      </c>
      <c r="CT130" s="29">
        <f t="shared" si="175"/>
        <v>33239</v>
      </c>
      <c r="CU130" s="30">
        <f t="shared" si="173"/>
        <v>9</v>
      </c>
      <c r="CV130" s="27">
        <f t="shared" si="201"/>
        <v>258</v>
      </c>
      <c r="CW130" s="25">
        <f t="shared" si="176"/>
        <v>0.031962948421114835</v>
      </c>
      <c r="CX130" s="25">
        <f t="shared" si="140"/>
        <v>-0.025896316893613495</v>
      </c>
      <c r="CY130" s="25">
        <f t="shared" si="177"/>
        <v>0.5082439752861831</v>
      </c>
      <c r="CZ130" s="25">
        <f t="shared" si="178"/>
        <v>43912.27946472623</v>
      </c>
    </row>
    <row r="131" spans="1:104" ht="12.75">
      <c r="A131" s="149">
        <f t="shared" si="202"/>
        <v>33509</v>
      </c>
      <c r="B131" s="60">
        <f t="shared" si="141"/>
        <v>16.5</v>
      </c>
      <c r="C131" s="78">
        <f t="shared" si="142"/>
        <v>16.500000000000043</v>
      </c>
      <c r="D131" s="171">
        <f t="shared" si="160"/>
        <v>166119.12220988743</v>
      </c>
      <c r="E131" s="30">
        <f t="shared" si="179"/>
        <v>1111</v>
      </c>
      <c r="F131" s="27">
        <f t="shared" si="203"/>
        <v>8.420222170890284</v>
      </c>
      <c r="G131" s="27">
        <f t="shared" si="204"/>
        <v>38.41631080006236</v>
      </c>
      <c r="H131" s="27">
        <f t="shared" si="205"/>
        <v>201.7881731164906</v>
      </c>
      <c r="I131" s="27">
        <f t="shared" si="164"/>
        <v>210.20839528738088</v>
      </c>
      <c r="J131" s="27">
        <f t="shared" si="117"/>
        <v>248.62470608744326</v>
      </c>
      <c r="K131" s="27">
        <f t="shared" si="118"/>
        <v>4.00000000000054</v>
      </c>
      <c r="L131" s="27">
        <f t="shared" si="119"/>
        <v>3.3680888683565686</v>
      </c>
      <c r="M131" s="27">
        <f t="shared" si="120"/>
        <v>12.943400809596017</v>
      </c>
      <c r="O131" s="25">
        <f t="shared" si="180"/>
        <v>0.013</v>
      </c>
      <c r="P131" s="25">
        <f t="shared" si="121"/>
        <v>0.10946288822157368</v>
      </c>
      <c r="Q131" s="25">
        <f t="shared" si="122"/>
        <v>0.38416310800062364</v>
      </c>
      <c r="S131" s="27">
        <f t="shared" si="174"/>
        <v>181.62751855669723</v>
      </c>
      <c r="T131" s="27">
        <f t="shared" si="181"/>
        <v>19.87242430965696</v>
      </c>
      <c r="U131" s="27">
        <f t="shared" si="123"/>
        <v>0.15197085097325086</v>
      </c>
      <c r="V131" s="27">
        <f t="shared" si="124"/>
        <v>0.45</v>
      </c>
      <c r="W131" s="27">
        <f t="shared" si="182"/>
        <v>380.27167273697745</v>
      </c>
      <c r="X131" s="27">
        <f t="shared" si="183"/>
        <v>23.04676804466524</v>
      </c>
      <c r="Y131" s="27">
        <f t="shared" si="184"/>
        <v>34.45923591353611</v>
      </c>
      <c r="AA131" s="24">
        <f t="shared" si="185"/>
        <v>0.9842599742342375</v>
      </c>
      <c r="AB131" s="23">
        <f t="shared" si="125"/>
        <v>0.7399753725999839</v>
      </c>
      <c r="AC131" s="23">
        <f>IF('DadosReais&amp;Graficos'!soilClass&gt;0,0.8-0.1*'DadosReais&amp;Graficos'!soilClass,IF('DadosReais&amp;Graficos'!soilClass&lt;0,SWconst0,999))</f>
        <v>0.6000000000000001</v>
      </c>
      <c r="AD131" s="23">
        <f>IF('DadosReais&amp;Graficos'!soilClass&gt;0,11-2*'DadosReais&amp;Graficos'!soilClass,SWpower0)</f>
        <v>7</v>
      </c>
      <c r="AE131" s="24">
        <f>1/(1+((1-CD131/'DadosReais&amp;Graficos'!MaxASW)/AC131)^AD131)</f>
        <v>0.24632440195272287</v>
      </c>
      <c r="AF131" s="24">
        <f t="shared" si="126"/>
        <v>0.6</v>
      </c>
      <c r="AG131" s="27">
        <f t="shared" si="186"/>
        <v>1</v>
      </c>
      <c r="AH131" s="27">
        <f t="shared" si="127"/>
        <v>1</v>
      </c>
      <c r="AI131" s="27">
        <f t="shared" si="128"/>
        <v>0.9856489524622676</v>
      </c>
      <c r="AJ131" s="24">
        <f t="shared" si="129"/>
        <v>0.24278938875059583</v>
      </c>
      <c r="AM131" s="27">
        <f t="shared" si="165"/>
        <v>391.4155912399292</v>
      </c>
      <c r="AN131" s="27">
        <f t="shared" si="130"/>
        <v>1</v>
      </c>
      <c r="AO131" s="27">
        <f t="shared" si="131"/>
        <v>0.8143782789908349</v>
      </c>
      <c r="AP131" s="27">
        <f t="shared" si="132"/>
        <v>318.76035556415366</v>
      </c>
      <c r="AQ131" s="27">
        <f t="shared" si="133"/>
        <v>0.013143233263380426</v>
      </c>
      <c r="AR131" s="27">
        <f t="shared" si="187"/>
        <v>0.7255064761385994</v>
      </c>
      <c r="AS131" s="27">
        <f t="shared" si="166"/>
        <v>1</v>
      </c>
      <c r="AT131" s="25">
        <f t="shared" si="167"/>
        <v>2.312627022980361</v>
      </c>
      <c r="AU131" s="25">
        <f t="shared" si="188"/>
        <v>1.0869347008007697</v>
      </c>
      <c r="AW131" s="25">
        <f t="shared" si="189"/>
        <v>0.6</v>
      </c>
      <c r="AX131" s="25">
        <f t="shared" si="134"/>
        <v>0.09030164563180525</v>
      </c>
      <c r="AY131" s="25">
        <f t="shared" si="190"/>
        <v>0.37316074361335433</v>
      </c>
      <c r="AZ131" s="25">
        <f t="shared" si="135"/>
        <v>0.5749227829729693</v>
      </c>
      <c r="BA131" s="25">
        <f t="shared" si="136"/>
        <v>0.051916473413676334</v>
      </c>
      <c r="BB131" s="25">
        <f t="shared" si="191"/>
        <v>0.0564298164965254</v>
      </c>
      <c r="BC131" s="25">
        <f t="shared" si="192"/>
        <v>0.40560136120997403</v>
      </c>
      <c r="BD131" s="25">
        <f t="shared" si="193"/>
        <v>0.6249035230942702</v>
      </c>
      <c r="BG131" s="76">
        <f t="shared" si="206"/>
        <v>33512</v>
      </c>
      <c r="BH131" s="30">
        <f t="shared" si="194"/>
        <v>31</v>
      </c>
      <c r="BI131" s="27">
        <f>'PSP-1 Metdata'!D132</f>
        <v>14.550000190734863</v>
      </c>
      <c r="BJ131" s="28">
        <f>'PSP-1 Metdata'!E132</f>
        <v>20.100000381469727</v>
      </c>
      <c r="BK131" s="28">
        <f>'PSP-1 Metdata'!F132</f>
        <v>9</v>
      </c>
      <c r="BL131" s="28">
        <f>'PSP-1 Metdata'!G132</f>
        <v>64.15999755859376</v>
      </c>
      <c r="BM131" s="28">
        <f>'PSP-1 Metdata'!I132</f>
        <v>12.626309394836426</v>
      </c>
      <c r="BN131" s="28">
        <f>'PSP-1 Metdata'!J132</f>
        <v>11</v>
      </c>
      <c r="BO131" s="28">
        <f>'PSP-1 Metdata'!K132</f>
        <v>0</v>
      </c>
      <c r="BP131" s="25">
        <f>'PSP-1 Metdata'!L132</f>
        <v>23.525344314713216</v>
      </c>
      <c r="BQ131" s="25">
        <f>'PSP-1 Metdata'!M132</f>
        <v>11.479809370392651</v>
      </c>
      <c r="BR131" s="25">
        <f>'PSP-1 Metdata'!N132</f>
        <v>6.022767472160282</v>
      </c>
      <c r="BT131" s="25">
        <f t="shared" si="169"/>
        <v>39224.4387806368</v>
      </c>
      <c r="BU131" s="25">
        <f t="shared" si="195"/>
        <v>167.51923621799625</v>
      </c>
      <c r="BV131" s="25">
        <f t="shared" si="196"/>
        <v>0.2</v>
      </c>
      <c r="BW131" s="25">
        <f t="shared" si="197"/>
        <v>2211.733671480454</v>
      </c>
      <c r="BX131" s="25">
        <f t="shared" si="198"/>
        <v>0.004855787775011917</v>
      </c>
      <c r="BY131" s="25">
        <f t="shared" si="137"/>
        <v>44.387961514547285</v>
      </c>
      <c r="BZ131" s="25">
        <f t="shared" si="138"/>
        <v>58.130085345649654</v>
      </c>
      <c r="CA131" s="27">
        <f t="shared" si="155"/>
        <v>0.9268780381925315</v>
      </c>
      <c r="CB131" s="139">
        <f t="shared" si="170"/>
        <v>28.733219183968476</v>
      </c>
      <c r="CD131" s="27">
        <f>IF(CJ130&lt;'DadosReais&amp;Graficos'!MinASW,'DadosReais&amp;Graficos'!MinASW,IF(CJ130&gt;'DadosReais&amp;Graficos'!MaxASW,'DadosReais&amp;Graficos'!MaxASW,CJ130))</f>
        <v>59.21263616876037</v>
      </c>
      <c r="CE131" s="25">
        <f t="shared" si="199"/>
        <v>9.623999633789063</v>
      </c>
      <c r="CG131" s="27">
        <f t="shared" si="200"/>
        <v>123.37263372735413</v>
      </c>
      <c r="CH131" s="27">
        <f t="shared" si="171"/>
        <v>38.35721881775754</v>
      </c>
      <c r="CI131" s="27">
        <f>MAX(CG131-CH131-'DadosReais&amp;Graficos'!MaxASW,0)</f>
        <v>0</v>
      </c>
      <c r="CJ131" s="27">
        <f t="shared" si="172"/>
        <v>85.01541490959659</v>
      </c>
      <c r="CK131" s="27">
        <f>poolFractn*Month!CI131</f>
        <v>0</v>
      </c>
      <c r="CQ131" s="25">
        <f>SIN(PI()*'DadosReais&amp;Graficos'!Lat/180)</f>
        <v>0.6293203910498374</v>
      </c>
      <c r="CR131" s="25">
        <f>COS(PI()*'DadosReais&amp;Graficos'!Lat/180)</f>
        <v>0.7771459614569709</v>
      </c>
      <c r="CS131" s="25">
        <f t="shared" si="139"/>
        <v>1991</v>
      </c>
      <c r="CT131" s="29">
        <f t="shared" si="175"/>
        <v>33239</v>
      </c>
      <c r="CU131" s="30">
        <f t="shared" si="173"/>
        <v>10</v>
      </c>
      <c r="CV131" s="27">
        <f t="shared" si="201"/>
        <v>289</v>
      </c>
      <c r="CW131" s="25">
        <f t="shared" si="176"/>
        <v>-0.1751405350728837</v>
      </c>
      <c r="CX131" s="25">
        <f t="shared" si="140"/>
        <v>0.14405256542254885</v>
      </c>
      <c r="CY131" s="25">
        <f t="shared" si="177"/>
        <v>0.4539865599610741</v>
      </c>
      <c r="CZ131" s="25">
        <f t="shared" si="178"/>
        <v>39224.4387806368</v>
      </c>
    </row>
    <row r="132" spans="1:104" ht="12.75">
      <c r="A132" s="149">
        <f t="shared" si="202"/>
        <v>33539</v>
      </c>
      <c r="B132" s="60">
        <f t="shared" si="141"/>
        <v>16.58</v>
      </c>
      <c r="C132" s="78">
        <f t="shared" si="142"/>
        <v>16.583333333333375</v>
      </c>
      <c r="D132" s="171">
        <f t="shared" si="160"/>
        <v>165506.53476494414</v>
      </c>
      <c r="E132" s="30">
        <f t="shared" si="179"/>
        <v>1111</v>
      </c>
      <c r="F132" s="27">
        <f t="shared" si="203"/>
        <v>8.367189099165236</v>
      </c>
      <c r="G132" s="27">
        <f t="shared" si="204"/>
        <v>38.437749053271716</v>
      </c>
      <c r="H132" s="27">
        <f t="shared" si="205"/>
        <v>202.4130766395849</v>
      </c>
      <c r="I132" s="27">
        <f t="shared" si="164"/>
        <v>210.78026573875013</v>
      </c>
      <c r="J132" s="27">
        <f aca="true" t="shared" si="207" ref="J132:J148">SUM(F132:H132)</f>
        <v>249.21801479202185</v>
      </c>
      <c r="K132" s="27">
        <f aca="true" t="shared" si="208" ref="K132:K148">SLA1+(SLA0-SLA1)*EXP(-LN(2)*(C132/tSLA)^2)</f>
        <v>4.000000000000398</v>
      </c>
      <c r="L132" s="27">
        <f aca="true" t="shared" si="209" ref="L132:L148">0.1*F132*K132</f>
        <v>3.3468756396664276</v>
      </c>
      <c r="M132" s="27">
        <f aca="true" t="shared" si="210" ref="M132:M148">M131+P131</f>
        <v>13.05286369781759</v>
      </c>
      <c r="O132" s="25">
        <f t="shared" si="180"/>
        <v>0.013</v>
      </c>
      <c r="P132" s="25">
        <f aca="true" t="shared" si="211" ref="P132:P148">O132*F132</f>
        <v>0.10877345828914806</v>
      </c>
      <c r="Q132" s="25">
        <f aca="true" t="shared" si="212" ref="Q132:Q148">Rttover*G132</f>
        <v>0.3843774905327172</v>
      </c>
      <c r="S132" s="27">
        <f t="shared" si="174"/>
        <v>182.18998797442384</v>
      </c>
      <c r="T132" s="27">
        <f t="shared" si="181"/>
        <v>19.89514307657181</v>
      </c>
      <c r="U132" s="27">
        <f aca="true" t="shared" si="213" ref="U132:U148">fracBB1+(fracBB0-fracBB1)*EXP(-LN(2)*(C132/tBB))</f>
        <v>0.15191474467176688</v>
      </c>
      <c r="V132" s="27">
        <f aca="true" t="shared" si="214" ref="V132:V148">rhoMax+(rhoMin-rhoMax)*EXP(-LN(2)*(C132/tRho))</f>
        <v>0.45</v>
      </c>
      <c r="W132" s="27">
        <f t="shared" si="182"/>
        <v>381.47454618590126</v>
      </c>
      <c r="X132" s="27">
        <f t="shared" si="183"/>
        <v>23.003490222265345</v>
      </c>
      <c r="Y132" s="27">
        <f t="shared" si="184"/>
        <v>34.53807066845925</v>
      </c>
      <c r="AA132" s="24">
        <f t="shared" si="185"/>
        <v>0.8614700713929753</v>
      </c>
      <c r="AB132" s="23">
        <f aca="true" t="shared" si="215" ref="AB132:AB148">EXP(-CoeffCond*BR132)</f>
        <v>0.7737685968306137</v>
      </c>
      <c r="AC132" s="23">
        <f>IF('DadosReais&amp;Graficos'!soilClass&gt;0,0.8-0.1*'DadosReais&amp;Graficos'!soilClass,IF('DadosReais&amp;Graficos'!soilClass&lt;0,SWconst0,999))</f>
        <v>0.6000000000000001</v>
      </c>
      <c r="AD132" s="23">
        <f>IF('DadosReais&amp;Graficos'!soilClass&gt;0,11-2*'DadosReais&amp;Graficos'!soilClass,SWpower0)</f>
        <v>7</v>
      </c>
      <c r="AE132" s="24">
        <f>1/(1+((1-CD132/'DadosReais&amp;Graficos'!MaxASW)/AC132)^AD132)</f>
        <v>0.574162750237492</v>
      </c>
      <c r="AF132" s="24">
        <f aca="true" t="shared" si="216" ref="AF132:AF148">AF131</f>
        <v>0.6</v>
      </c>
      <c r="AG132" s="27">
        <f t="shared" si="186"/>
        <v>1</v>
      </c>
      <c r="AH132" s="27">
        <f aca="true" t="shared" si="217" ref="AH132:AH148">1-kF*(BO132/30)</f>
        <v>0.9333333333333333</v>
      </c>
      <c r="AI132" s="27">
        <f aca="true" t="shared" si="218" ref="AI132:AI148">(1/(1+((C132/MaxAge)/rAge)^nAge))</f>
        <v>0.9853611049121358</v>
      </c>
      <c r="AJ132" s="24">
        <f aca="true" t="shared" si="219" ref="AJ132:AJ148">MIN(AB132,AE132)*AI132</f>
        <v>0.5657576419734057</v>
      </c>
      <c r="AM132" s="27">
        <f t="shared" si="165"/>
        <v>266.4500141143799</v>
      </c>
      <c r="AN132" s="27">
        <f aca="true" t="shared" si="220" ref="AN132:AN148">IF(AND(fullCanAge&gt;0,C132&lt;fullCanAge),C132/fullCanAge,1)</f>
        <v>1</v>
      </c>
      <c r="AO132" s="27">
        <f aca="true" t="shared" si="221" ref="AO132:AO148">(1-(EXP(-k*L132)))</f>
        <v>0.8123989827218344</v>
      </c>
      <c r="AP132" s="27">
        <f aca="true" t="shared" si="222" ref="AP132:AP148">AM132*AO132*AN132</f>
        <v>216.46372041274063</v>
      </c>
      <c r="AQ132" s="27">
        <f aca="true" t="shared" si="223" ref="AQ132:AQ148">alpha*AG132*AA132*AH132*AJ132</f>
        <v>0.025019008179393492</v>
      </c>
      <c r="AR132" s="27">
        <f t="shared" si="187"/>
        <v>1.3810492515025206</v>
      </c>
      <c r="AS132" s="27">
        <f t="shared" si="166"/>
        <v>1</v>
      </c>
      <c r="AT132" s="25">
        <f t="shared" si="167"/>
        <v>2.9894705905346632</v>
      </c>
      <c r="AU132" s="25">
        <f t="shared" si="188"/>
        <v>1.4050511775512917</v>
      </c>
      <c r="AW132" s="25">
        <f t="shared" si="189"/>
        <v>0.6</v>
      </c>
      <c r="AX132" s="25">
        <f aca="true" t="shared" si="224" ref="AX132:AX149">pfsConst*T132^pfsPower</f>
        <v>0.09024771286475045</v>
      </c>
      <c r="AY132" s="25">
        <f t="shared" si="190"/>
        <v>0.27900840654850484</v>
      </c>
      <c r="AZ132" s="25">
        <f aca="true" t="shared" si="225" ref="AZ132:AZ149">(1-AY132)/(1+AX132)</f>
        <v>0.6613098885179106</v>
      </c>
      <c r="BA132" s="25">
        <f aca="true" t="shared" si="226" ref="BA132:BA149">1-AY132-AZ132</f>
        <v>0.0596817049335846</v>
      </c>
      <c r="BB132" s="25">
        <f t="shared" si="191"/>
        <v>0.08385584979520178</v>
      </c>
      <c r="BC132" s="25">
        <f t="shared" si="192"/>
        <v>0.39202109016768627</v>
      </c>
      <c r="BD132" s="25">
        <f t="shared" si="193"/>
        <v>0.9291742375884038</v>
      </c>
      <c r="BG132" s="76">
        <f t="shared" si="206"/>
        <v>33543</v>
      </c>
      <c r="BH132" s="30">
        <f t="shared" si="194"/>
        <v>30</v>
      </c>
      <c r="BI132" s="27">
        <f>'PSP-1 Metdata'!D133</f>
        <v>11.899999856948853</v>
      </c>
      <c r="BJ132" s="28">
        <f>'PSP-1 Metdata'!E133</f>
        <v>17.399999618530273</v>
      </c>
      <c r="BK132" s="28">
        <f>'PSP-1 Metdata'!F133</f>
        <v>6.400000095367432</v>
      </c>
      <c r="BL132" s="28">
        <f>'PSP-1 Metdata'!G133</f>
        <v>57.04000244140625</v>
      </c>
      <c r="BM132" s="28">
        <f>'PSP-1 Metdata'!I133</f>
        <v>8.881667137145996</v>
      </c>
      <c r="BN132" s="28">
        <f>'PSP-1 Metdata'!J133</f>
        <v>10</v>
      </c>
      <c r="BO132" s="28">
        <f>'PSP-1 Metdata'!K133</f>
        <v>2</v>
      </c>
      <c r="BP132" s="25">
        <f>'PSP-1 Metdata'!L133</f>
        <v>19.871963045186586</v>
      </c>
      <c r="BQ132" s="25">
        <f>'PSP-1 Metdata'!M133</f>
        <v>9.612666221343247</v>
      </c>
      <c r="BR132" s="25">
        <f>'PSP-1 Metdata'!N133</f>
        <v>5.12964841192167</v>
      </c>
      <c r="BT132" s="25">
        <f t="shared" si="169"/>
        <v>35312.835538885876</v>
      </c>
      <c r="BU132" s="25">
        <f t="shared" si="195"/>
        <v>111.21107810480211</v>
      </c>
      <c r="BV132" s="25">
        <f t="shared" si="196"/>
        <v>0.2</v>
      </c>
      <c r="BW132" s="25">
        <f t="shared" si="197"/>
        <v>1883.7546307319008</v>
      </c>
      <c r="BX132" s="25">
        <f t="shared" si="198"/>
        <v>0.011315152839468115</v>
      </c>
      <c r="BY132" s="25">
        <f aca="true" t="shared" si="227" ref="BY132:BY149">(1+e_20+BV132/BX132)</f>
        <v>20.875413035728936</v>
      </c>
      <c r="BZ132" s="25">
        <f aca="true" t="shared" si="228" ref="BZ132:BZ149">(e_20*BU132+BW132)/BY132</f>
        <v>101.9581743805312</v>
      </c>
      <c r="CA132" s="27">
        <f aca="true" t="shared" si="229" ref="CA132:CA149">BZ132/lambda*BT132</f>
        <v>1.463590342985669</v>
      </c>
      <c r="CB132" s="139">
        <f t="shared" si="170"/>
        <v>43.90771028957007</v>
      </c>
      <c r="CD132" s="27">
        <f>IF(CJ131&lt;'DadosReais&amp;Graficos'!MinASW,'DadosReais&amp;Graficos'!MinASW,IF(CJ131&gt;'DadosReais&amp;Graficos'!MaxASW,'DadosReais&amp;Graficos'!MaxASW,CJ131))</f>
        <v>85.01541490959659</v>
      </c>
      <c r="CE132" s="25">
        <f t="shared" si="199"/>
        <v>8.556000366210938</v>
      </c>
      <c r="CG132" s="27">
        <f t="shared" si="200"/>
        <v>142.05541735100283</v>
      </c>
      <c r="CH132" s="27">
        <f t="shared" si="171"/>
        <v>52.46371065578101</v>
      </c>
      <c r="CI132" s="27">
        <f>MAX(CG132-CH132-'DadosReais&amp;Graficos'!MaxASW,0)</f>
        <v>0</v>
      </c>
      <c r="CJ132" s="27">
        <f t="shared" si="172"/>
        <v>89.59170669522183</v>
      </c>
      <c r="CK132" s="27">
        <f>poolFractn*Month!CI132</f>
        <v>0</v>
      </c>
      <c r="CQ132" s="25">
        <f>SIN(PI()*'DadosReais&amp;Graficos'!Lat/180)</f>
        <v>0.6293203910498374</v>
      </c>
      <c r="CR132" s="25">
        <f>COS(PI()*'DadosReais&amp;Graficos'!Lat/180)</f>
        <v>0.7771459614569709</v>
      </c>
      <c r="CS132" s="25">
        <f aca="true" t="shared" si="230" ref="CS132:CS149">YEAR(A132)</f>
        <v>1991</v>
      </c>
      <c r="CT132" s="29">
        <f t="shared" si="175"/>
        <v>33239</v>
      </c>
      <c r="CU132" s="30">
        <f t="shared" si="173"/>
        <v>11</v>
      </c>
      <c r="CV132" s="27">
        <f t="shared" si="201"/>
        <v>319</v>
      </c>
      <c r="CW132" s="25">
        <f t="shared" si="176"/>
        <v>-0.3297749470179898</v>
      </c>
      <c r="CX132" s="25">
        <f aca="true" t="shared" si="231" ref="CX132:CX149">-CW132*CQ132/(CR132*SQRT(1-(CW132)^2))</f>
        <v>0.2828703751751745</v>
      </c>
      <c r="CY132" s="25">
        <f t="shared" si="177"/>
        <v>0.40871337429266064</v>
      </c>
      <c r="CZ132" s="25">
        <f t="shared" si="178"/>
        <v>35312.835538885876</v>
      </c>
    </row>
    <row r="133" spans="1:104" ht="12.75">
      <c r="A133" s="149">
        <f t="shared" si="202"/>
        <v>33570</v>
      </c>
      <c r="B133" s="60">
        <f aca="true" t="shared" si="232" ref="B133:B149">ROUND(C133,2)</f>
        <v>16.67</v>
      </c>
      <c r="C133" s="78">
        <f aca="true" t="shared" si="233" ref="C133:C149">C132+1/12</f>
        <v>16.666666666666707</v>
      </c>
      <c r="D133" s="171">
        <f t="shared" si="160"/>
        <v>164572.2211752186</v>
      </c>
      <c r="E133" s="30">
        <f t="shared" si="179"/>
        <v>1111</v>
      </c>
      <c r="F133" s="27">
        <f t="shared" si="203"/>
        <v>8.342271490671289</v>
      </c>
      <c r="G133" s="27">
        <f t="shared" si="204"/>
        <v>38.44539265290669</v>
      </c>
      <c r="H133" s="27">
        <f t="shared" si="205"/>
        <v>203.34225087717329</v>
      </c>
      <c r="I133" s="27">
        <f t="shared" si="164"/>
        <v>211.68452236784458</v>
      </c>
      <c r="J133" s="27">
        <f t="shared" si="207"/>
        <v>250.12991502075127</v>
      </c>
      <c r="K133" s="27">
        <f t="shared" si="208"/>
        <v>4.000000000000292</v>
      </c>
      <c r="L133" s="27">
        <f t="shared" si="209"/>
        <v>3.3369085962687595</v>
      </c>
      <c r="M133" s="27">
        <f t="shared" si="210"/>
        <v>13.161637156106739</v>
      </c>
      <c r="O133" s="25">
        <f t="shared" si="180"/>
        <v>0.013</v>
      </c>
      <c r="P133" s="25">
        <f t="shared" si="211"/>
        <v>0.10844952937872675</v>
      </c>
      <c r="Q133" s="25">
        <f t="shared" si="212"/>
        <v>0.3844539265290669</v>
      </c>
      <c r="S133" s="27">
        <f t="shared" si="174"/>
        <v>183.02632842229818</v>
      </c>
      <c r="T133" s="27">
        <f t="shared" si="181"/>
        <v>19.928842185200217</v>
      </c>
      <c r="U133" s="27">
        <f t="shared" si="213"/>
        <v>0.1518602356077752</v>
      </c>
      <c r="V133" s="27">
        <f t="shared" si="214"/>
        <v>0.45</v>
      </c>
      <c r="W133" s="27">
        <f aca="true" t="shared" si="234" ref="W133:W148">H133*(1-U133)/V133</f>
        <v>383.2503305554454</v>
      </c>
      <c r="X133" s="27">
        <f aca="true" t="shared" si="235" ref="X133:X148">W133/C133</f>
        <v>22.995019833326666</v>
      </c>
      <c r="Y133" s="27">
        <f aca="true" t="shared" si="236" ref="Y133:Y148">PI()/4*(T133/100)^2*E133</f>
        <v>34.65517341262959</v>
      </c>
      <c r="AA133" s="24">
        <f aca="true" t="shared" si="237" ref="AA133:AA148">IF(OR(BI133&lt;=Tmin,BI133&gt;=Tmax),0,(BI133-Tmin)/(Topt-Tmin)*((Tmax-BI133)/(Tmax-Topt))^((Tmax-Topt)/(Topt-Tmin)))</f>
        <v>0.7435482330234919</v>
      </c>
      <c r="AB133" s="23">
        <f t="shared" si="215"/>
        <v>0.7697649422430702</v>
      </c>
      <c r="AC133" s="23">
        <f>IF('DadosReais&amp;Graficos'!soilClass&gt;0,0.8-0.1*'DadosReais&amp;Graficos'!soilClass,IF('DadosReais&amp;Graficos'!soilClass&lt;0,SWconst0,999))</f>
        <v>0.6000000000000001</v>
      </c>
      <c r="AD133" s="23">
        <f>IF('DadosReais&amp;Graficos'!soilClass&gt;0,11-2*'DadosReais&amp;Graficos'!soilClass,SWpower0)</f>
        <v>7</v>
      </c>
      <c r="AE133" s="24">
        <f>1/(1+((1-CD133/'DadosReais&amp;Graficos'!MaxASW)/AC133)^AD133)</f>
        <v>0.6417908501415646</v>
      </c>
      <c r="AF133" s="24">
        <f t="shared" si="216"/>
        <v>0.6</v>
      </c>
      <c r="AG133" s="27">
        <f t="shared" si="186"/>
        <v>1</v>
      </c>
      <c r="AH133" s="27">
        <f t="shared" si="217"/>
        <v>0.6666666666666667</v>
      </c>
      <c r="AI133" s="27">
        <f t="shared" si="218"/>
        <v>0.9850690570110994</v>
      </c>
      <c r="AJ133" s="24">
        <f t="shared" si="219"/>
        <v>0.6322083075473028</v>
      </c>
      <c r="AM133" s="27">
        <f t="shared" si="165"/>
        <v>234.8599977493286</v>
      </c>
      <c r="AN133" s="27">
        <f t="shared" si="220"/>
        <v>1</v>
      </c>
      <c r="AO133" s="27">
        <f t="shared" si="221"/>
        <v>0.8114617355253835</v>
      </c>
      <c r="AP133" s="27">
        <f t="shared" si="222"/>
        <v>190.57990137915786</v>
      </c>
      <c r="AQ133" s="27">
        <f t="shared" si="223"/>
        <v>0.017236170232584214</v>
      </c>
      <c r="AR133" s="27">
        <f t="shared" si="187"/>
        <v>0.9514365968386486</v>
      </c>
      <c r="AS133" s="27">
        <f t="shared" si="166"/>
        <v>1</v>
      </c>
      <c r="AT133" s="25">
        <f t="shared" si="167"/>
        <v>1.8132469279403123</v>
      </c>
      <c r="AU133" s="25">
        <f t="shared" si="188"/>
        <v>0.8522260561319467</v>
      </c>
      <c r="AW133" s="25">
        <f t="shared" si="189"/>
        <v>0.6</v>
      </c>
      <c r="AX133" s="25">
        <f t="shared" si="224"/>
        <v>0.09016788604216157</v>
      </c>
      <c r="AY133" s="25">
        <f aca="true" t="shared" si="238" ref="AY133:AY149">pRx*pRn/(pRn+(pRx-pRn)*AJ133*AW133)</f>
        <v>0.2652390960166829</v>
      </c>
      <c r="AZ133" s="25">
        <f t="shared" si="225"/>
        <v>0.6739887620895308</v>
      </c>
      <c r="BA133" s="25">
        <f t="shared" si="226"/>
        <v>0.060772141893786324</v>
      </c>
      <c r="BB133" s="25">
        <f aca="true" t="shared" si="239" ref="BB133:BB149">AU133*BA133</f>
        <v>0.05179160280883257</v>
      </c>
      <c r="BC133" s="25">
        <f aca="true" t="shared" si="240" ref="BC133:BC149">AU133*AY133</f>
        <v>0.22604366873030038</v>
      </c>
      <c r="BD133" s="25">
        <f aca="true" t="shared" si="241" ref="BD133:BD149">AU133*AZ133</f>
        <v>0.5743907845928138</v>
      </c>
      <c r="BG133" s="76">
        <f t="shared" si="206"/>
        <v>33573</v>
      </c>
      <c r="BH133" s="30">
        <f aca="true" t="shared" si="242" ref="BH133:BH149">IF((BG134-BG133)=29,28,(BG134-BG133))</f>
        <v>31</v>
      </c>
      <c r="BI133" s="27">
        <f>'PSP-1 Metdata'!D134</f>
        <v>10.550000190734863</v>
      </c>
      <c r="BJ133" s="28">
        <f>'PSP-1 Metdata'!E134</f>
        <v>16.600000381469727</v>
      </c>
      <c r="BK133" s="28">
        <f>'PSP-1 Metdata'!F134</f>
        <v>4.5</v>
      </c>
      <c r="BL133" s="28">
        <f>'PSP-1 Metdata'!G134</f>
        <v>36.720001220703125</v>
      </c>
      <c r="BM133" s="28">
        <f>'PSP-1 Metdata'!I134</f>
        <v>7.576128959655762</v>
      </c>
      <c r="BN133" s="28">
        <f>'PSP-1 Metdata'!J134</f>
        <v>8</v>
      </c>
      <c r="BO133" s="28">
        <f>'PSP-1 Metdata'!K134</f>
        <v>10</v>
      </c>
      <c r="BP133" s="25">
        <f>'PSP-1 Metdata'!L134</f>
        <v>18.889668103409804</v>
      </c>
      <c r="BQ133" s="25">
        <f>'PSP-1 Metdata'!M134</f>
        <v>8.422864881293139</v>
      </c>
      <c r="BR133" s="25">
        <f>'PSP-1 Metdata'!N134</f>
        <v>5.233401611058333</v>
      </c>
      <c r="BT133" s="25">
        <f t="shared" si="169"/>
        <v>33294.53956575766</v>
      </c>
      <c r="BU133" s="25">
        <f aca="true" t="shared" si="243" ref="BU133:BU149">Qa+Qb*(BM133*10^6/BT133)</f>
        <v>92.03895433826781</v>
      </c>
      <c r="BV133" s="25">
        <f t="shared" si="196"/>
        <v>0.2</v>
      </c>
      <c r="BW133" s="25">
        <f aca="true" t="shared" si="244" ref="BW133:BW149">rhoAir*lambda*(VPDconv*BR133)*BV133</f>
        <v>1921.8557935470185</v>
      </c>
      <c r="BX133" s="25">
        <f aca="true" t="shared" si="245" ref="BX133:BX149">IF(MaxCond*AJ133*MIN(1,L133/LAIgcx)=0,0.0001,MaxCond*AJ133*MIN(1,L133/LAIgcx))</f>
        <v>0.012644166150946058</v>
      </c>
      <c r="BY133" s="25">
        <f t="shared" si="227"/>
        <v>19.017571329924014</v>
      </c>
      <c r="BZ133" s="25">
        <f t="shared" si="228"/>
        <v>111.70414225020265</v>
      </c>
      <c r="CA133" s="27">
        <f t="shared" si="229"/>
        <v>1.511844708865201</v>
      </c>
      <c r="CB133" s="139">
        <f t="shared" si="170"/>
        <v>46.86718597482123</v>
      </c>
      <c r="CD133" s="27">
        <f>IF(CJ132&lt;'DadosReais&amp;Graficos'!MinASW,'DadosReais&amp;Graficos'!MinASW,IF(CJ132&gt;'DadosReais&amp;Graficos'!MaxASW,'DadosReais&amp;Graficos'!MaxASW,CJ132))</f>
        <v>89.59170669522183</v>
      </c>
      <c r="CE133" s="25">
        <f aca="true" t="shared" si="246" ref="CE133:CE149">IF(LAImaxIntcptn&lt;=0,BL133*MaxIntcptn,BL133*MaxIntcptn*MIN(1,L133/LAImaxIntcptn))</f>
        <v>5.508000183105469</v>
      </c>
      <c r="CG133" s="27">
        <f aca="true" t="shared" si="247" ref="CG133:CG149">CD133+BL133+CF133+CK132</f>
        <v>126.31170791592496</v>
      </c>
      <c r="CH133" s="27">
        <f t="shared" si="171"/>
        <v>52.3751861579267</v>
      </c>
      <c r="CI133" s="27">
        <f>MAX(CG133-CH133-'DadosReais&amp;Graficos'!MaxASW,0)</f>
        <v>0</v>
      </c>
      <c r="CJ133" s="27">
        <f t="shared" si="172"/>
        <v>73.93652175799826</v>
      </c>
      <c r="CK133" s="27">
        <f>poolFractn*Month!CI133</f>
        <v>0</v>
      </c>
      <c r="CQ133" s="25">
        <f>SIN(PI()*'DadosReais&amp;Graficos'!Lat/180)</f>
        <v>0.6293203910498374</v>
      </c>
      <c r="CR133" s="25">
        <f>COS(PI()*'DadosReais&amp;Graficos'!Lat/180)</f>
        <v>0.7771459614569709</v>
      </c>
      <c r="CS133" s="25">
        <f t="shared" si="230"/>
        <v>1991</v>
      </c>
      <c r="CT133" s="29">
        <f t="shared" si="175"/>
        <v>33239</v>
      </c>
      <c r="CU133" s="30">
        <f t="shared" si="173"/>
        <v>12</v>
      </c>
      <c r="CV133" s="27">
        <f aca="true" t="shared" si="248" ref="CV133:CV149">LOOKUP(CU133,CM$5:CM$16,CO$5:CO$16)</f>
        <v>350</v>
      </c>
      <c r="CW133" s="25">
        <f t="shared" si="176"/>
        <v>-0.39906495399591085</v>
      </c>
      <c r="CX133" s="25">
        <f t="shared" si="231"/>
        <v>0.352435862283474</v>
      </c>
      <c r="CY133" s="25">
        <f t="shared" si="177"/>
        <v>0.3853534671962692</v>
      </c>
      <c r="CZ133" s="25">
        <f t="shared" si="178"/>
        <v>33294.53956575766</v>
      </c>
    </row>
    <row r="134" spans="1:104" ht="12.75">
      <c r="A134" s="149">
        <f aca="true" t="shared" si="249" ref="A134:A150">EDATE(A133,1)</f>
        <v>33600</v>
      </c>
      <c r="B134" s="60">
        <f t="shared" si="232"/>
        <v>16.75</v>
      </c>
      <c r="C134" s="78">
        <f t="shared" si="233"/>
        <v>16.75000000000004</v>
      </c>
      <c r="D134" s="171">
        <f aca="true" t="shared" si="250" ref="D134:D149">EXP(9.7)*(J134/E134)^-1.55</f>
        <v>164206.44762361326</v>
      </c>
      <c r="E134" s="30">
        <f t="shared" si="179"/>
        <v>1111</v>
      </c>
      <c r="F134" s="27">
        <f aca="true" t="shared" si="251" ref="F134:F148">F133+BB133-P133</f>
        <v>8.285613564101395</v>
      </c>
      <c r="G134" s="27">
        <f aca="true" t="shared" si="252" ref="G134:G148">G133+BC133-Q133</f>
        <v>38.28698239510792</v>
      </c>
      <c r="H134" s="27">
        <f aca="true" t="shared" si="253" ref="H134:H148">H133+BD133</f>
        <v>203.9166416617661</v>
      </c>
      <c r="I134" s="27">
        <f aca="true" t="shared" si="254" ref="I134:I148">F134+H134</f>
        <v>212.2022552258675</v>
      </c>
      <c r="J134" s="27">
        <f t="shared" si="207"/>
        <v>250.48923762097542</v>
      </c>
      <c r="K134" s="27">
        <f t="shared" si="208"/>
        <v>4.000000000000215</v>
      </c>
      <c r="L134" s="27">
        <f t="shared" si="209"/>
        <v>3.314245425640736</v>
      </c>
      <c r="M134" s="27">
        <f t="shared" si="210"/>
        <v>13.270086685485465</v>
      </c>
      <c r="O134" s="25">
        <f t="shared" si="180"/>
        <v>0.013</v>
      </c>
      <c r="P134" s="25">
        <f t="shared" si="211"/>
        <v>0.10771297633331813</v>
      </c>
      <c r="Q134" s="25">
        <f t="shared" si="212"/>
        <v>0.3828698239510792</v>
      </c>
      <c r="S134" s="27">
        <f t="shared" si="174"/>
        <v>183.54333182877235</v>
      </c>
      <c r="T134" s="27">
        <f t="shared" si="181"/>
        <v>19.949625542761794</v>
      </c>
      <c r="U134" s="27">
        <f t="shared" si="213"/>
        <v>0.1518072783110249</v>
      </c>
      <c r="V134" s="27">
        <f t="shared" si="214"/>
        <v>0.45</v>
      </c>
      <c r="W134" s="27">
        <f t="shared" si="234"/>
        <v>384.35691397504183</v>
      </c>
      <c r="X134" s="27">
        <f t="shared" si="235"/>
        <v>22.946681431345727</v>
      </c>
      <c r="Y134" s="27">
        <f t="shared" si="236"/>
        <v>34.727493361847095</v>
      </c>
      <c r="AA134" s="24">
        <f t="shared" si="237"/>
        <v>0.38182005924977164</v>
      </c>
      <c r="AB134" s="23">
        <f t="shared" si="215"/>
        <v>0.7796679935327212</v>
      </c>
      <c r="AC134" s="23">
        <f>IF('DadosReais&amp;Graficos'!soilClass&gt;0,0.8-0.1*'DadosReais&amp;Graficos'!soilClass,IF('DadosReais&amp;Graficos'!soilClass&lt;0,SWconst0,999))</f>
        <v>0.6000000000000001</v>
      </c>
      <c r="AD134" s="23">
        <f>IF('DadosReais&amp;Graficos'!soilClass&gt;0,11-2*'DadosReais&amp;Graficos'!soilClass,SWpower0)</f>
        <v>7</v>
      </c>
      <c r="AE134" s="24">
        <f>1/(1+((1-CD134/'DadosReais&amp;Graficos'!MaxASW)/AC134)^AD134)</f>
        <v>0.4145816379158473</v>
      </c>
      <c r="AF134" s="24">
        <f t="shared" si="216"/>
        <v>0.6</v>
      </c>
      <c r="AG134" s="27">
        <f t="shared" si="186"/>
        <v>1</v>
      </c>
      <c r="AH134" s="27">
        <f t="shared" si="217"/>
        <v>0.43333333333333335</v>
      </c>
      <c r="AI134" s="27">
        <f t="shared" si="218"/>
        <v>0.984772772389767</v>
      </c>
      <c r="AJ134" s="24">
        <f t="shared" si="219"/>
        <v>0.4082687089522795</v>
      </c>
      <c r="AM134" s="27">
        <f aca="true" t="shared" si="255" ref="AM134:AM148">BM134*BH134</f>
        <v>246.3793215751648</v>
      </c>
      <c r="AN134" s="27">
        <f t="shared" si="220"/>
        <v>1</v>
      </c>
      <c r="AO134" s="27">
        <f t="shared" si="221"/>
        <v>0.8093131476337395</v>
      </c>
      <c r="AP134" s="27">
        <f t="shared" si="222"/>
        <v>199.39802425586194</v>
      </c>
      <c r="AQ134" s="27">
        <f t="shared" si="223"/>
        <v>0.003715263519634027</v>
      </c>
      <c r="AR134" s="27">
        <f t="shared" si="187"/>
        <v>0.20508254628379827</v>
      </c>
      <c r="AS134" s="27">
        <f aca="true" t="shared" si="256" ref="AS134:AS149">CH134/(CB134+CE134)</f>
        <v>1</v>
      </c>
      <c r="AT134" s="25">
        <f aca="true" t="shared" si="257" ref="AT134:AT149">AR134*AP134/100*AS134</f>
        <v>0.40893054538350737</v>
      </c>
      <c r="AU134" s="25">
        <f t="shared" si="188"/>
        <v>0.19219735633024845</v>
      </c>
      <c r="AW134" s="25">
        <f t="shared" si="189"/>
        <v>0.6</v>
      </c>
      <c r="AX134" s="25">
        <f t="shared" si="224"/>
        <v>0.09011875660206609</v>
      </c>
      <c r="AY134" s="25">
        <f t="shared" si="238"/>
        <v>0.31815193076580034</v>
      </c>
      <c r="AZ134" s="25">
        <f t="shared" si="225"/>
        <v>0.625480540633519</v>
      </c>
      <c r="BA134" s="25">
        <f t="shared" si="226"/>
        <v>0.05636752860068073</v>
      </c>
      <c r="BB134" s="25">
        <f t="shared" si="239"/>
        <v>0.010833689979920505</v>
      </c>
      <c r="BC134" s="25">
        <f t="shared" si="240"/>
        <v>0.06114796000455106</v>
      </c>
      <c r="BD134" s="25">
        <f t="shared" si="241"/>
        <v>0.1202157063457769</v>
      </c>
      <c r="BG134" s="76">
        <f aca="true" t="shared" si="258" ref="BG134:BG150">EDATE(BG133,1)</f>
        <v>33604</v>
      </c>
      <c r="BH134" s="30">
        <f t="shared" si="242"/>
        <v>31</v>
      </c>
      <c r="BI134" s="27">
        <f>'PSP-1 Metdata'!D135</f>
        <v>7.900000214576721</v>
      </c>
      <c r="BJ134" s="28">
        <f>'PSP-1 Metdata'!E135</f>
        <v>14.600000381469727</v>
      </c>
      <c r="BK134" s="28">
        <f>'PSP-1 Metdata'!F135</f>
        <v>1.2000000476837158</v>
      </c>
      <c r="BL134" s="28">
        <f>'PSP-1 Metdata'!G135</f>
        <v>35.6</v>
      </c>
      <c r="BM134" s="28">
        <f>'PSP-1 Metdata'!I135</f>
        <v>7.947720050811768</v>
      </c>
      <c r="BN134" s="28">
        <f>'PSP-1 Metdata'!J135</f>
        <v>5</v>
      </c>
      <c r="BO134" s="28">
        <f>'PSP-1 Metdata'!K135</f>
        <v>17</v>
      </c>
      <c r="BP134" s="25">
        <f>'PSP-1 Metdata'!L135</f>
        <v>16.61771685584246</v>
      </c>
      <c r="BQ134" s="25">
        <f>'PSP-1 Metdata'!M135</f>
        <v>6.662232886646123</v>
      </c>
      <c r="BR134" s="25">
        <f>'PSP-1 Metdata'!N135</f>
        <v>4.977741984598168</v>
      </c>
      <c r="BT134" s="25">
        <f aca="true" t="shared" si="259" ref="BT134:BT149">CZ134</f>
        <v>34557.10261977032</v>
      </c>
      <c r="BU134" s="25">
        <f t="shared" si="243"/>
        <v>93.99042624053399</v>
      </c>
      <c r="BV134" s="25">
        <f t="shared" si="196"/>
        <v>0.2</v>
      </c>
      <c r="BW134" s="25">
        <f t="shared" si="244"/>
        <v>1827.970215713604</v>
      </c>
      <c r="BX134" s="25">
        <f t="shared" si="245"/>
        <v>0.008126742949413462</v>
      </c>
      <c r="BY134" s="25">
        <f t="shared" si="227"/>
        <v>27.810105333088547</v>
      </c>
      <c r="BZ134" s="25">
        <f t="shared" si="228"/>
        <v>73.16581972891085</v>
      </c>
      <c r="CA134" s="27">
        <f t="shared" si="229"/>
        <v>1.0278043661104015</v>
      </c>
      <c r="CB134" s="139">
        <f aca="true" t="shared" si="260" ref="CB134:CB149">CA134*BH134</f>
        <v>31.861935349422446</v>
      </c>
      <c r="CD134" s="27">
        <f>IF(CJ133&lt;'DadosReais&amp;Graficos'!MinASW,'DadosReais&amp;Graficos'!MinASW,IF(CJ133&gt;'DadosReais&amp;Graficos'!MaxASW,'DadosReais&amp;Graficos'!MaxASW,CJ133))</f>
        <v>73.93652175799826</v>
      </c>
      <c r="CE134" s="25">
        <f t="shared" si="246"/>
        <v>5.34</v>
      </c>
      <c r="CG134" s="27">
        <f t="shared" si="247"/>
        <v>109.53652175799826</v>
      </c>
      <c r="CH134" s="27">
        <f aca="true" t="shared" si="261" ref="CH134:CH149">MIN(CG134,CB134+CE134)</f>
        <v>37.20193534942244</v>
      </c>
      <c r="CI134" s="27">
        <f>MAX(CG134-CH134-'DadosReais&amp;Graficos'!MaxASW,0)</f>
        <v>0</v>
      </c>
      <c r="CJ134" s="27">
        <f aca="true" t="shared" si="262" ref="CJ134:CJ149">CG134-CH134-CI134</f>
        <v>72.33458640857582</v>
      </c>
      <c r="CK134" s="27">
        <f>poolFractn*Month!CI134</f>
        <v>0</v>
      </c>
      <c r="CQ134" s="25">
        <f>SIN(PI()*'DadosReais&amp;Graficos'!Lat/180)</f>
        <v>0.6293203910498374</v>
      </c>
      <c r="CR134" s="25">
        <f>COS(PI()*'DadosReais&amp;Graficos'!Lat/180)</f>
        <v>0.7771459614569709</v>
      </c>
      <c r="CS134" s="25">
        <f t="shared" si="230"/>
        <v>1991</v>
      </c>
      <c r="CT134" s="29">
        <f t="shared" si="175"/>
        <v>33239</v>
      </c>
      <c r="CU134" s="30">
        <f aca="true" t="shared" si="263" ref="CU134:CU149">MONTH(BG134)</f>
        <v>1</v>
      </c>
      <c r="CV134" s="27">
        <f t="shared" si="248"/>
        <v>16</v>
      </c>
      <c r="CW134" s="25">
        <f t="shared" si="176"/>
        <v>-0.3566279806934116</v>
      </c>
      <c r="CX134" s="25">
        <f t="shared" si="231"/>
        <v>0.30911718809788097</v>
      </c>
      <c r="CY134" s="25">
        <f t="shared" si="177"/>
        <v>0.39996646550660087</v>
      </c>
      <c r="CZ134" s="25">
        <f t="shared" si="178"/>
        <v>34557.10261977032</v>
      </c>
    </row>
    <row r="135" spans="1:104" ht="12.75">
      <c r="A135" s="149">
        <f t="shared" si="249"/>
        <v>33631</v>
      </c>
      <c r="B135" s="60">
        <f t="shared" si="232"/>
        <v>16.83</v>
      </c>
      <c r="C135" s="78">
        <f t="shared" si="233"/>
        <v>16.83333333333337</v>
      </c>
      <c r="D135" s="171">
        <f t="shared" si="250"/>
        <v>164510.09567553495</v>
      </c>
      <c r="E135" s="30">
        <f t="shared" si="179"/>
        <v>1111</v>
      </c>
      <c r="F135" s="27">
        <f t="shared" si="251"/>
        <v>8.188734277747997</v>
      </c>
      <c r="G135" s="27">
        <f t="shared" si="252"/>
        <v>37.9652605311614</v>
      </c>
      <c r="H135" s="27">
        <f t="shared" si="253"/>
        <v>204.0368573681119</v>
      </c>
      <c r="I135" s="27">
        <f t="shared" si="254"/>
        <v>212.22559164585988</v>
      </c>
      <c r="J135" s="27">
        <f t="shared" si="207"/>
        <v>250.1908521770213</v>
      </c>
      <c r="K135" s="27">
        <f t="shared" si="208"/>
        <v>4.000000000000157</v>
      </c>
      <c r="L135" s="27">
        <f t="shared" si="209"/>
        <v>3.275493711099328</v>
      </c>
      <c r="M135" s="27">
        <f t="shared" si="210"/>
        <v>13.377799661818782</v>
      </c>
      <c r="O135" s="25">
        <f t="shared" si="180"/>
        <v>0.013</v>
      </c>
      <c r="P135" s="25">
        <f t="shared" si="211"/>
        <v>0.10645354561072395</v>
      </c>
      <c r="Q135" s="25">
        <f t="shared" si="212"/>
        <v>0.379652605311614</v>
      </c>
      <c r="S135" s="27">
        <f aca="true" t="shared" si="264" ref="S135:S148">H135/E135*1000</f>
        <v>183.65153678497919</v>
      </c>
      <c r="T135" s="27">
        <f t="shared" si="181"/>
        <v>19.953970672101406</v>
      </c>
      <c r="U135" s="27">
        <f t="shared" si="213"/>
        <v>0.15175582860571482</v>
      </c>
      <c r="V135" s="27">
        <f t="shared" si="214"/>
        <v>0.45</v>
      </c>
      <c r="W135" s="27">
        <f t="shared" si="234"/>
        <v>384.60683336024005</v>
      </c>
      <c r="X135" s="27">
        <f t="shared" si="235"/>
        <v>22.847930694667674</v>
      </c>
      <c r="Y135" s="27">
        <f t="shared" si="236"/>
        <v>34.74262265666722</v>
      </c>
      <c r="AA135" s="24">
        <f t="shared" si="237"/>
        <v>0.6285371011706331</v>
      </c>
      <c r="AB135" s="23">
        <f t="shared" si="215"/>
        <v>0.7294879008256285</v>
      </c>
      <c r="AC135" s="23">
        <f>IF('DadosReais&amp;Graficos'!soilClass&gt;0,0.8-0.1*'DadosReais&amp;Graficos'!soilClass,IF('DadosReais&amp;Graficos'!soilClass&lt;0,SWconst0,999))</f>
        <v>0.6000000000000001</v>
      </c>
      <c r="AD135" s="23">
        <f>IF('DadosReais&amp;Graficos'!soilClass&gt;0,11-2*'DadosReais&amp;Graficos'!soilClass,SWpower0)</f>
        <v>7</v>
      </c>
      <c r="AE135" s="24">
        <f>1/(1+((1-CD135/'DadosReais&amp;Graficos'!MaxASW)/AC135)^AD135)</f>
        <v>0.39330328292153544</v>
      </c>
      <c r="AF135" s="24">
        <f t="shared" si="216"/>
        <v>0.6</v>
      </c>
      <c r="AG135" s="27">
        <f t="shared" si="186"/>
        <v>1</v>
      </c>
      <c r="AH135" s="27">
        <f t="shared" si="217"/>
        <v>0.7666666666666666</v>
      </c>
      <c r="AI135" s="27">
        <f t="shared" si="218"/>
        <v>0.9844722146681529</v>
      </c>
      <c r="AJ135" s="24">
        <f t="shared" si="219"/>
        <v>0.38719615397401913</v>
      </c>
      <c r="AM135" s="27">
        <f t="shared" si="255"/>
        <v>302.7903480529785</v>
      </c>
      <c r="AN135" s="27">
        <f t="shared" si="220"/>
        <v>1</v>
      </c>
      <c r="AO135" s="27">
        <f t="shared" si="221"/>
        <v>0.8055823998979785</v>
      </c>
      <c r="AP135" s="27">
        <f t="shared" si="222"/>
        <v>243.92257525046264</v>
      </c>
      <c r="AQ135" s="27">
        <f t="shared" si="223"/>
        <v>0.010261981415903627</v>
      </c>
      <c r="AR135" s="27">
        <f t="shared" si="187"/>
        <v>0.5664613741578802</v>
      </c>
      <c r="AS135" s="27">
        <f t="shared" si="256"/>
        <v>1</v>
      </c>
      <c r="AT135" s="25">
        <f t="shared" si="257"/>
        <v>1.3817271716450603</v>
      </c>
      <c r="AU135" s="25">
        <f t="shared" si="188"/>
        <v>0.6494117706731783</v>
      </c>
      <c r="AW135" s="25">
        <f t="shared" si="189"/>
        <v>0.6</v>
      </c>
      <c r="AX135" s="25">
        <f t="shared" si="224"/>
        <v>0.0901084950720235</v>
      </c>
      <c r="AY135" s="25">
        <f t="shared" si="238"/>
        <v>0.32423852578446766</v>
      </c>
      <c r="AZ135" s="25">
        <f t="shared" si="225"/>
        <v>0.6199029521101794</v>
      </c>
      <c r="BA135" s="25">
        <f t="shared" si="226"/>
        <v>0.055858522105352915</v>
      </c>
      <c r="BB135" s="25">
        <f t="shared" si="239"/>
        <v>0.03627518174762411</v>
      </c>
      <c r="BC135" s="25">
        <f t="shared" si="240"/>
        <v>0.21056431515015214</v>
      </c>
      <c r="BD135" s="25">
        <f t="shared" si="241"/>
        <v>0.4025722737754021</v>
      </c>
      <c r="BG135" s="76">
        <f t="shared" si="258"/>
        <v>33635</v>
      </c>
      <c r="BH135" s="30">
        <f t="shared" si="242"/>
        <v>28</v>
      </c>
      <c r="BI135" s="27">
        <f>'PSP-1 Metdata'!D136</f>
        <v>9.550000369548798</v>
      </c>
      <c r="BJ135" s="28">
        <f>'PSP-1 Metdata'!E136</f>
        <v>17.200000762939453</v>
      </c>
      <c r="BK135" s="28">
        <f>'PSP-1 Metdata'!F136</f>
        <v>1.899999976158142</v>
      </c>
      <c r="BL135" s="28">
        <f>'PSP-1 Metdata'!G136</f>
        <v>20.4</v>
      </c>
      <c r="BM135" s="28">
        <f>'PSP-1 Metdata'!I136</f>
        <v>10.81394100189209</v>
      </c>
      <c r="BN135" s="28">
        <f>'PSP-1 Metdata'!J136</f>
        <v>4</v>
      </c>
      <c r="BO135" s="28">
        <f>'PSP-1 Metdata'!K136</f>
        <v>7</v>
      </c>
      <c r="BP135" s="25">
        <f>'PSP-1 Metdata'!L136</f>
        <v>19.62228875979055</v>
      </c>
      <c r="BQ135" s="25">
        <f>'PSP-1 Metdata'!M136</f>
        <v>7.005788890659067</v>
      </c>
      <c r="BR135" s="25">
        <f>'PSP-1 Metdata'!N136</f>
        <v>6.308249934565741</v>
      </c>
      <c r="BT135" s="25">
        <f t="shared" si="259"/>
        <v>37850.90307676919</v>
      </c>
      <c r="BU135" s="25">
        <f t="shared" si="243"/>
        <v>138.55868944440792</v>
      </c>
      <c r="BV135" s="25">
        <f t="shared" si="196"/>
        <v>0.2</v>
      </c>
      <c r="BW135" s="25">
        <f t="shared" si="244"/>
        <v>2316.571053570656</v>
      </c>
      <c r="BX135" s="25">
        <f t="shared" si="245"/>
        <v>0.007617168572394875</v>
      </c>
      <c r="BY135" s="25">
        <f t="shared" si="227"/>
        <v>29.456475499940133</v>
      </c>
      <c r="BZ135" s="25">
        <f t="shared" si="228"/>
        <v>88.99232259995536</v>
      </c>
      <c r="CA135" s="27">
        <f t="shared" si="229"/>
        <v>1.3692844623201164</v>
      </c>
      <c r="CB135" s="139">
        <f t="shared" si="260"/>
        <v>38.339964944963256</v>
      </c>
      <c r="CD135" s="27">
        <f>IF(CJ134&lt;'DadosReais&amp;Graficos'!MinASW,'DadosReais&amp;Graficos'!MinASW,IF(CJ134&gt;'DadosReais&amp;Graficos'!MaxASW,'DadosReais&amp;Graficos'!MaxASW,CJ134))</f>
        <v>72.33458640857582</v>
      </c>
      <c r="CE135" s="25">
        <f t="shared" si="246"/>
        <v>3.0599999999999996</v>
      </c>
      <c r="CG135" s="27">
        <f t="shared" si="247"/>
        <v>92.73458640857581</v>
      </c>
      <c r="CH135" s="27">
        <f t="shared" si="261"/>
        <v>41.39996494496326</v>
      </c>
      <c r="CI135" s="27">
        <f>MAX(CG135-CH135-'DadosReais&amp;Graficos'!MaxASW,0)</f>
        <v>0</v>
      </c>
      <c r="CJ135" s="27">
        <f t="shared" si="262"/>
        <v>51.33462146361255</v>
      </c>
      <c r="CK135" s="27">
        <f>poolFractn*Month!CI135</f>
        <v>0</v>
      </c>
      <c r="CQ135" s="25">
        <f>SIN(PI()*'DadosReais&amp;Graficos'!Lat/180)</f>
        <v>0.6293203910498374</v>
      </c>
      <c r="CR135" s="25">
        <f>COS(PI()*'DadosReais&amp;Graficos'!Lat/180)</f>
        <v>0.7771459614569709</v>
      </c>
      <c r="CS135" s="25">
        <f t="shared" si="230"/>
        <v>1992</v>
      </c>
      <c r="CT135" s="29">
        <f aca="true" t="shared" si="265" ref="CT135:CT149">DATE(CS135,1,1)</f>
        <v>33604</v>
      </c>
      <c r="CU135" s="30">
        <f t="shared" si="263"/>
        <v>2</v>
      </c>
      <c r="CV135" s="27">
        <f t="shared" si="248"/>
        <v>44</v>
      </c>
      <c r="CW135" s="25">
        <f aca="true" t="shared" si="266" ref="CW135:CW149">0.4*SIN(0.0172*(CV135-80))</f>
        <v>-0.2321535487640738</v>
      </c>
      <c r="CX135" s="25">
        <f t="shared" si="231"/>
        <v>0.19327466507755395</v>
      </c>
      <c r="CY135" s="25">
        <f aca="true" t="shared" si="267" ref="CY135:CY149">IF(CX135&gt;1,0,IF(CX135&lt;-1,1,ACOS(CX135)/PI()))</f>
        <v>0.43808915598112486</v>
      </c>
      <c r="CZ135" s="25">
        <f aca="true" t="shared" si="268" ref="CZ135:CZ149">CY135*86400</f>
        <v>37850.90307676919</v>
      </c>
    </row>
    <row r="136" spans="1:104" ht="12.75">
      <c r="A136" s="149">
        <f t="shared" si="249"/>
        <v>33662</v>
      </c>
      <c r="B136" s="60">
        <f t="shared" si="232"/>
        <v>16.92</v>
      </c>
      <c r="C136" s="78">
        <f t="shared" si="233"/>
        <v>16.916666666666703</v>
      </c>
      <c r="D136" s="171">
        <f t="shared" si="250"/>
        <v>164343.79551992792</v>
      </c>
      <c r="E136" s="30">
        <f aca="true" t="shared" si="269" ref="E136:E149">MIN(D135,E135)</f>
        <v>1111</v>
      </c>
      <c r="F136" s="27">
        <f t="shared" si="251"/>
        <v>8.118555913884897</v>
      </c>
      <c r="G136" s="27">
        <f t="shared" si="252"/>
        <v>37.79617224099994</v>
      </c>
      <c r="H136" s="27">
        <f t="shared" si="253"/>
        <v>204.4394296418873</v>
      </c>
      <c r="I136" s="27">
        <f t="shared" si="254"/>
        <v>212.5579855557722</v>
      </c>
      <c r="J136" s="27">
        <f t="shared" si="207"/>
        <v>250.35415779677214</v>
      </c>
      <c r="K136" s="27">
        <f t="shared" si="208"/>
        <v>4.0000000000001155</v>
      </c>
      <c r="L136" s="27">
        <f t="shared" si="209"/>
        <v>3.2474223655540526</v>
      </c>
      <c r="M136" s="27">
        <f t="shared" si="210"/>
        <v>13.484253207429507</v>
      </c>
      <c r="O136" s="25">
        <f t="shared" si="180"/>
        <v>0.013</v>
      </c>
      <c r="P136" s="25">
        <f t="shared" si="211"/>
        <v>0.10554122688050366</v>
      </c>
      <c r="Q136" s="25">
        <f t="shared" si="212"/>
        <v>0.37796172240999937</v>
      </c>
      <c r="S136" s="27">
        <f t="shared" si="264"/>
        <v>184.01388806650525</v>
      </c>
      <c r="T136" s="27">
        <f t="shared" si="181"/>
        <v>19.96850967952451</v>
      </c>
      <c r="U136" s="27">
        <f t="shared" si="213"/>
        <v>0.15170584357364317</v>
      </c>
      <c r="V136" s="27">
        <f t="shared" si="214"/>
        <v>0.45</v>
      </c>
      <c r="W136" s="27">
        <f t="shared" si="234"/>
        <v>385.3883855741118</v>
      </c>
      <c r="X136" s="27">
        <f t="shared" si="235"/>
        <v>22.78157944280459</v>
      </c>
      <c r="Y136" s="27">
        <f t="shared" si="236"/>
        <v>34.79326994690303</v>
      </c>
      <c r="AA136" s="24">
        <f t="shared" si="237"/>
        <v>0.9359773944565144</v>
      </c>
      <c r="AB136" s="23">
        <f t="shared" si="215"/>
        <v>0.7416956704927129</v>
      </c>
      <c r="AC136" s="23">
        <f>IF('DadosReais&amp;Graficos'!soilClass&gt;0,0.8-0.1*'DadosReais&amp;Graficos'!soilClass,IF('DadosReais&amp;Graficos'!soilClass&lt;0,SWconst0,999))</f>
        <v>0.6000000000000001</v>
      </c>
      <c r="AD136" s="23">
        <f>IF('DadosReais&amp;Graficos'!soilClass&gt;0,11-2*'DadosReais&amp;Graficos'!soilClass,SWpower0)</f>
        <v>7</v>
      </c>
      <c r="AE136" s="24">
        <f>1/(1+((1-CD136/'DadosReais&amp;Graficos'!MaxASW)/AC136)^AD136)</f>
        <v>0.18250849493184831</v>
      </c>
      <c r="AF136" s="24">
        <f t="shared" si="216"/>
        <v>0.6</v>
      </c>
      <c r="AG136" s="27">
        <f t="shared" si="186"/>
        <v>1</v>
      </c>
      <c r="AH136" s="27">
        <f t="shared" si="217"/>
        <v>1</v>
      </c>
      <c r="AI136" s="27">
        <f t="shared" si="218"/>
        <v>0.9841673474595709</v>
      </c>
      <c r="AJ136" s="24">
        <f t="shared" si="219"/>
        <v>0.17961890134591568</v>
      </c>
      <c r="AM136" s="27">
        <f t="shared" si="255"/>
        <v>479.80622386932373</v>
      </c>
      <c r="AN136" s="27">
        <f t="shared" si="220"/>
        <v>1</v>
      </c>
      <c r="AO136" s="27">
        <f t="shared" si="221"/>
        <v>0.802834378027065</v>
      </c>
      <c r="AP136" s="27">
        <f t="shared" si="222"/>
        <v>385.2049313136432</v>
      </c>
      <c r="AQ136" s="27">
        <f t="shared" si="223"/>
        <v>0.009246557720229052</v>
      </c>
      <c r="AR136" s="27">
        <f t="shared" si="187"/>
        <v>0.5104099861566437</v>
      </c>
      <c r="AS136" s="27">
        <f t="shared" si="256"/>
        <v>1</v>
      </c>
      <c r="AT136" s="25">
        <f t="shared" si="257"/>
        <v>1.966124436592675</v>
      </c>
      <c r="AU136" s="25">
        <f t="shared" si="188"/>
        <v>0.9240784851985573</v>
      </c>
      <c r="AW136" s="25">
        <f t="shared" si="189"/>
        <v>0.6</v>
      </c>
      <c r="AX136" s="25">
        <f t="shared" si="224"/>
        <v>0.09007418423717885</v>
      </c>
      <c r="AY136" s="25">
        <f t="shared" si="238"/>
        <v>0.3995312820825981</v>
      </c>
      <c r="AZ136" s="25">
        <f t="shared" si="225"/>
        <v>0.5508512416864573</v>
      </c>
      <c r="BA136" s="25">
        <f t="shared" si="226"/>
        <v>0.0496174762309447</v>
      </c>
      <c r="BB136" s="25">
        <f t="shared" si="239"/>
        <v>0.0458504422748668</v>
      </c>
      <c r="BC136" s="25">
        <f t="shared" si="240"/>
        <v>0.3691982619363247</v>
      </c>
      <c r="BD136" s="25">
        <f t="shared" si="241"/>
        <v>0.5090297809873658</v>
      </c>
      <c r="BG136" s="76">
        <f t="shared" si="258"/>
        <v>33664</v>
      </c>
      <c r="BH136" s="30">
        <f t="shared" si="242"/>
        <v>31</v>
      </c>
      <c r="BI136" s="27">
        <f>'PSP-1 Metdata'!D137</f>
        <v>13.150000095367432</v>
      </c>
      <c r="BJ136" s="28">
        <f>'PSP-1 Metdata'!E137</f>
        <v>19.100000381469727</v>
      </c>
      <c r="BK136" s="28">
        <f>'PSP-1 Metdata'!F137</f>
        <v>7.199999809265137</v>
      </c>
      <c r="BL136" s="28">
        <f>'PSP-1 Metdata'!G137</f>
        <v>18</v>
      </c>
      <c r="BM136" s="28">
        <f>'PSP-1 Metdata'!I137</f>
        <v>15.477620124816895</v>
      </c>
      <c r="BN136" s="28">
        <f>'PSP-1 Metdata'!J137</f>
        <v>5</v>
      </c>
      <c r="BO136" s="28">
        <f>'PSP-1 Metdata'!K137</f>
        <v>0</v>
      </c>
      <c r="BP136" s="25">
        <f>'PSP-1 Metdata'!L137</f>
        <v>22.109025822978992</v>
      </c>
      <c r="BQ136" s="25">
        <f>'PSP-1 Metdata'!M137</f>
        <v>10.156375121689901</v>
      </c>
      <c r="BR136" s="25">
        <f>'PSP-1 Metdata'!N137</f>
        <v>5.9763253506445455</v>
      </c>
      <c r="BT136" s="25">
        <f t="shared" si="259"/>
        <v>42434.28237611158</v>
      </c>
      <c r="BU136" s="25">
        <f t="shared" si="243"/>
        <v>201.7946388277802</v>
      </c>
      <c r="BV136" s="25">
        <f t="shared" si="196"/>
        <v>0.2</v>
      </c>
      <c r="BW136" s="25">
        <f t="shared" si="244"/>
        <v>2194.678786926776</v>
      </c>
      <c r="BX136" s="25">
        <f t="shared" si="245"/>
        <v>0.0035032939189608018</v>
      </c>
      <c r="BY136" s="25">
        <f t="shared" si="227"/>
        <v>60.28912943831072</v>
      </c>
      <c r="BZ136" s="25">
        <f t="shared" si="228"/>
        <v>43.76621485383694</v>
      </c>
      <c r="CA136" s="27">
        <f t="shared" si="229"/>
        <v>0.7549544388785715</v>
      </c>
      <c r="CB136" s="139">
        <f t="shared" si="260"/>
        <v>23.403587605235717</v>
      </c>
      <c r="CD136" s="27">
        <f>IF(CJ135&lt;'DadosReais&amp;Graficos'!MinASW,'DadosReais&amp;Graficos'!MinASW,IF(CJ135&gt;'DadosReais&amp;Graficos'!MaxASW,'DadosReais&amp;Graficos'!MaxASW,CJ135))</f>
        <v>51.33462146361255</v>
      </c>
      <c r="CE136" s="25">
        <f t="shared" si="246"/>
        <v>2.6999999999999997</v>
      </c>
      <c r="CG136" s="27">
        <f t="shared" si="247"/>
        <v>69.33462146361255</v>
      </c>
      <c r="CH136" s="27">
        <f t="shared" si="261"/>
        <v>26.103587605235717</v>
      </c>
      <c r="CI136" s="27">
        <f>MAX(CG136-CH136-'DadosReais&amp;Graficos'!MaxASW,0)</f>
        <v>0</v>
      </c>
      <c r="CJ136" s="27">
        <f t="shared" si="262"/>
        <v>43.23103385837683</v>
      </c>
      <c r="CK136" s="27">
        <f>poolFractn*Month!CI136</f>
        <v>0</v>
      </c>
      <c r="CQ136" s="25">
        <f>SIN(PI()*'DadosReais&amp;Graficos'!Lat/180)</f>
        <v>0.6293203910498374</v>
      </c>
      <c r="CR136" s="25">
        <f>COS(PI()*'DadosReais&amp;Graficos'!Lat/180)</f>
        <v>0.7771459614569709</v>
      </c>
      <c r="CS136" s="25">
        <f t="shared" si="230"/>
        <v>1992</v>
      </c>
      <c r="CT136" s="29">
        <f t="shared" si="265"/>
        <v>33604</v>
      </c>
      <c r="CU136" s="30">
        <f t="shared" si="263"/>
        <v>3</v>
      </c>
      <c r="CV136" s="27">
        <f t="shared" si="248"/>
        <v>75</v>
      </c>
      <c r="CW136" s="25">
        <f t="shared" si="266"/>
        <v>-0.03435761194480621</v>
      </c>
      <c r="CX136" s="25">
        <f t="shared" si="231"/>
        <v>0.027838681446559606</v>
      </c>
      <c r="CY136" s="25">
        <f t="shared" si="267"/>
        <v>0.49113752750129147</v>
      </c>
      <c r="CZ136" s="25">
        <f t="shared" si="268"/>
        <v>42434.28237611158</v>
      </c>
    </row>
    <row r="137" spans="1:104" ht="12.75">
      <c r="A137" s="149">
        <f t="shared" si="249"/>
        <v>33691</v>
      </c>
      <c r="B137" s="60">
        <f t="shared" si="232"/>
        <v>17</v>
      </c>
      <c r="C137" s="78">
        <f t="shared" si="233"/>
        <v>17.000000000000036</v>
      </c>
      <c r="D137" s="171">
        <f t="shared" si="250"/>
        <v>163896.5180069226</v>
      </c>
      <c r="E137" s="30">
        <f t="shared" si="269"/>
        <v>1111</v>
      </c>
      <c r="F137" s="27">
        <f t="shared" si="251"/>
        <v>8.05886512927926</v>
      </c>
      <c r="G137" s="27">
        <f t="shared" si="252"/>
        <v>37.78740878052626</v>
      </c>
      <c r="H137" s="27">
        <f t="shared" si="253"/>
        <v>204.94845942287466</v>
      </c>
      <c r="I137" s="27">
        <f t="shared" si="254"/>
        <v>213.00732455215393</v>
      </c>
      <c r="J137" s="27">
        <f t="shared" si="207"/>
        <v>250.79473333268018</v>
      </c>
      <c r="K137" s="27">
        <f t="shared" si="208"/>
        <v>4.000000000000084</v>
      </c>
      <c r="L137" s="27">
        <f t="shared" si="209"/>
        <v>3.223546051711772</v>
      </c>
      <c r="M137" s="27">
        <f t="shared" si="210"/>
        <v>13.589794434310011</v>
      </c>
      <c r="O137" s="25">
        <f t="shared" si="180"/>
        <v>0.013</v>
      </c>
      <c r="P137" s="25">
        <f t="shared" si="211"/>
        <v>0.10476524668063038</v>
      </c>
      <c r="Q137" s="25">
        <f t="shared" si="212"/>
        <v>0.37787408780526266</v>
      </c>
      <c r="S137" s="27">
        <f t="shared" si="264"/>
        <v>184.47206068665585</v>
      </c>
      <c r="T137" s="27">
        <f t="shared" si="181"/>
        <v>19.986867610829297</v>
      </c>
      <c r="U137" s="27">
        <f t="shared" si="213"/>
        <v>0.15165728151840593</v>
      </c>
      <c r="V137" s="27">
        <f t="shared" si="214"/>
        <v>0.45</v>
      </c>
      <c r="W137" s="27">
        <f t="shared" si="234"/>
        <v>386.3700738120359</v>
      </c>
      <c r="X137" s="27">
        <f t="shared" si="235"/>
        <v>22.72765140070795</v>
      </c>
      <c r="Y137" s="27">
        <f t="shared" si="236"/>
        <v>34.85727332795298</v>
      </c>
      <c r="AA137" s="24">
        <f t="shared" si="237"/>
        <v>0.969435758998971</v>
      </c>
      <c r="AB137" s="23">
        <f t="shared" si="215"/>
        <v>0.7367848992986196</v>
      </c>
      <c r="AC137" s="23">
        <f>IF('DadosReais&amp;Graficos'!soilClass&gt;0,0.8-0.1*'DadosReais&amp;Graficos'!soilClass,IF('DadosReais&amp;Graficos'!soilClass&lt;0,SWconst0,999))</f>
        <v>0.6000000000000001</v>
      </c>
      <c r="AD137" s="23">
        <f>IF('DadosReais&amp;Graficos'!soilClass&gt;0,11-2*'DadosReais&amp;Graficos'!soilClass,SWpower0)</f>
        <v>7</v>
      </c>
      <c r="AE137" s="24">
        <f>1/(1+((1-CD137/'DadosReais&amp;Graficos'!MaxASW)/AC137)^AD137)</f>
        <v>0.13342952780457576</v>
      </c>
      <c r="AF137" s="24">
        <f t="shared" si="216"/>
        <v>0.6</v>
      </c>
      <c r="AG137" s="27">
        <f t="shared" si="186"/>
        <v>1</v>
      </c>
      <c r="AH137" s="27">
        <f t="shared" si="217"/>
        <v>1</v>
      </c>
      <c r="AI137" s="27">
        <f t="shared" si="218"/>
        <v>0.9838581343745664</v>
      </c>
      <c r="AJ137" s="24">
        <f t="shared" si="219"/>
        <v>0.13127572629628922</v>
      </c>
      <c r="AM137" s="27">
        <f t="shared" si="255"/>
        <v>558.5476112365723</v>
      </c>
      <c r="AN137" s="27">
        <f t="shared" si="220"/>
        <v>1</v>
      </c>
      <c r="AO137" s="27">
        <f t="shared" si="221"/>
        <v>0.8004664778330669</v>
      </c>
      <c r="AP137" s="27">
        <f t="shared" si="222"/>
        <v>447.09863906861216</v>
      </c>
      <c r="AQ137" s="27">
        <f t="shared" si="223"/>
        <v>0.006999486084810138</v>
      </c>
      <c r="AR137" s="27">
        <f t="shared" si="187"/>
        <v>0.3863716318815196</v>
      </c>
      <c r="AS137" s="27">
        <f t="shared" si="256"/>
        <v>1</v>
      </c>
      <c r="AT137" s="25">
        <f t="shared" si="257"/>
        <v>1.727462307889462</v>
      </c>
      <c r="AU137" s="25">
        <f t="shared" si="188"/>
        <v>0.8119072847080471</v>
      </c>
      <c r="AW137" s="25">
        <f t="shared" si="189"/>
        <v>0.6</v>
      </c>
      <c r="AX137" s="25">
        <f t="shared" si="224"/>
        <v>0.09003091537002204</v>
      </c>
      <c r="AY137" s="25">
        <f t="shared" si="238"/>
        <v>0.42237363247907117</v>
      </c>
      <c r="AZ137" s="25">
        <f t="shared" si="225"/>
        <v>0.5299174173650365</v>
      </c>
      <c r="BA137" s="25">
        <f t="shared" si="226"/>
        <v>0.04770895015589227</v>
      </c>
      <c r="BB137" s="25">
        <f t="shared" si="239"/>
        <v>0.03873524417734205</v>
      </c>
      <c r="BC137" s="25">
        <f t="shared" si="240"/>
        <v>0.3429282290783573</v>
      </c>
      <c r="BD137" s="25">
        <f t="shared" si="241"/>
        <v>0.4302438114523477</v>
      </c>
      <c r="BG137" s="76">
        <f t="shared" si="258"/>
        <v>33695</v>
      </c>
      <c r="BH137" s="30">
        <f t="shared" si="242"/>
        <v>30</v>
      </c>
      <c r="BI137" s="27">
        <f>'PSP-1 Metdata'!D138</f>
        <v>13.999999523162842</v>
      </c>
      <c r="BJ137" s="28">
        <f>'PSP-1 Metdata'!E138</f>
        <v>19.799999237060547</v>
      </c>
      <c r="BK137" s="28">
        <f>'PSP-1 Metdata'!F138</f>
        <v>8.199999809265137</v>
      </c>
      <c r="BL137" s="28">
        <f>'PSP-1 Metdata'!G138</f>
        <v>60.15999755859375</v>
      </c>
      <c r="BM137" s="28">
        <f>'PSP-1 Metdata'!I138</f>
        <v>18.618253707885742</v>
      </c>
      <c r="BN137" s="28">
        <f>'PSP-1 Metdata'!J138</f>
        <v>6</v>
      </c>
      <c r="BO137" s="28">
        <f>'PSP-1 Metdata'!K138</f>
        <v>0</v>
      </c>
      <c r="BP137" s="25">
        <f>'PSP-1 Metdata'!L138</f>
        <v>23.09234670950044</v>
      </c>
      <c r="BQ137" s="25">
        <f>'PSP-1 Metdata'!M138</f>
        <v>10.873975140251524</v>
      </c>
      <c r="BR137" s="25">
        <f>'PSP-1 Metdata'!N138</f>
        <v>6.109185784624458</v>
      </c>
      <c r="BT137" s="25">
        <f t="shared" si="259"/>
        <v>46978.19870062779</v>
      </c>
      <c r="BU137" s="25">
        <f t="shared" si="243"/>
        <v>227.0535137208135</v>
      </c>
      <c r="BV137" s="25">
        <f t="shared" si="196"/>
        <v>0.2</v>
      </c>
      <c r="BW137" s="25">
        <f t="shared" si="244"/>
        <v>2243.4689646646984</v>
      </c>
      <c r="BX137" s="25">
        <f t="shared" si="245"/>
        <v>0.0025415816768047947</v>
      </c>
      <c r="BY137" s="25">
        <f t="shared" si="227"/>
        <v>81.89115591493972</v>
      </c>
      <c r="BZ137" s="25">
        <f t="shared" si="228"/>
        <v>33.49551809599105</v>
      </c>
      <c r="CA137" s="27">
        <f t="shared" si="229"/>
        <v>0.6396581726398136</v>
      </c>
      <c r="CB137" s="139">
        <f t="shared" si="260"/>
        <v>19.189745179194407</v>
      </c>
      <c r="CD137" s="27">
        <f>IF(CJ136&lt;'DadosReais&amp;Graficos'!MinASW,'DadosReais&amp;Graficos'!MinASW,IF(CJ136&gt;'DadosReais&amp;Graficos'!MaxASW,'DadosReais&amp;Graficos'!MaxASW,CJ136))</f>
        <v>43.23103385837683</v>
      </c>
      <c r="CE137" s="25">
        <f t="shared" si="246"/>
        <v>9.023999633789062</v>
      </c>
      <c r="CG137" s="27">
        <f t="shared" si="247"/>
        <v>103.39103141697058</v>
      </c>
      <c r="CH137" s="27">
        <f t="shared" si="261"/>
        <v>28.21374481298347</v>
      </c>
      <c r="CI137" s="27">
        <f>MAX(CG137-CH137-'DadosReais&amp;Graficos'!MaxASW,0)</f>
        <v>0</v>
      </c>
      <c r="CJ137" s="27">
        <f t="shared" si="262"/>
        <v>75.17728660398711</v>
      </c>
      <c r="CK137" s="27">
        <f>poolFractn*Month!CI137</f>
        <v>0</v>
      </c>
      <c r="CQ137" s="25">
        <f>SIN(PI()*'DadosReais&amp;Graficos'!Lat/180)</f>
        <v>0.6293203910498374</v>
      </c>
      <c r="CR137" s="25">
        <f>COS(PI()*'DadosReais&amp;Graficos'!Lat/180)</f>
        <v>0.7771459614569709</v>
      </c>
      <c r="CS137" s="25">
        <f t="shared" si="230"/>
        <v>1992</v>
      </c>
      <c r="CT137" s="29">
        <f t="shared" si="265"/>
        <v>33604</v>
      </c>
      <c r="CU137" s="30">
        <f t="shared" si="263"/>
        <v>4</v>
      </c>
      <c r="CV137" s="27">
        <f t="shared" si="248"/>
        <v>105</v>
      </c>
      <c r="CW137" s="25">
        <f t="shared" si="266"/>
        <v>0.16674832097168432</v>
      </c>
      <c r="CX137" s="25">
        <f t="shared" si="231"/>
        <v>-0.13694746197546548</v>
      </c>
      <c r="CY137" s="25">
        <f t="shared" si="267"/>
        <v>0.5437291516276365</v>
      </c>
      <c r="CZ137" s="25">
        <f t="shared" si="268"/>
        <v>46978.19870062779</v>
      </c>
    </row>
    <row r="138" spans="1:104" ht="12.75">
      <c r="A138" s="149">
        <f t="shared" si="249"/>
        <v>33722</v>
      </c>
      <c r="B138" s="60">
        <f t="shared" si="232"/>
        <v>17.08</v>
      </c>
      <c r="C138" s="78">
        <f t="shared" si="233"/>
        <v>17.083333333333368</v>
      </c>
      <c r="D138" s="171">
        <f t="shared" si="250"/>
        <v>163563.5473150427</v>
      </c>
      <c r="E138" s="30">
        <f t="shared" si="269"/>
        <v>1111</v>
      </c>
      <c r="F138" s="27">
        <f t="shared" si="251"/>
        <v>7.992835126775972</v>
      </c>
      <c r="G138" s="27">
        <f t="shared" si="252"/>
        <v>37.75246292179936</v>
      </c>
      <c r="H138" s="27">
        <f t="shared" si="253"/>
        <v>205.37870323432702</v>
      </c>
      <c r="I138" s="27">
        <f t="shared" si="254"/>
        <v>213.37153836110298</v>
      </c>
      <c r="J138" s="27">
        <f t="shared" si="207"/>
        <v>251.12400128290236</v>
      </c>
      <c r="K138" s="27">
        <f t="shared" si="208"/>
        <v>4.000000000000061</v>
      </c>
      <c r="L138" s="27">
        <f t="shared" si="209"/>
        <v>3.1971340507104378</v>
      </c>
      <c r="M138" s="27">
        <f t="shared" si="210"/>
        <v>13.694559680990642</v>
      </c>
      <c r="O138" s="25">
        <f t="shared" si="180"/>
        <v>0.013</v>
      </c>
      <c r="P138" s="25">
        <f t="shared" si="211"/>
        <v>0.10390685664808763</v>
      </c>
      <c r="Q138" s="25">
        <f t="shared" si="212"/>
        <v>0.3775246292179936</v>
      </c>
      <c r="S138" s="27">
        <f t="shared" si="264"/>
        <v>184.85931884277858</v>
      </c>
      <c r="T138" s="27">
        <f t="shared" si="181"/>
        <v>20.00236175696335</v>
      </c>
      <c r="U138" s="27">
        <f t="shared" si="213"/>
        <v>0.15161010193061492</v>
      </c>
      <c r="V138" s="27">
        <f t="shared" si="214"/>
        <v>0.45</v>
      </c>
      <c r="W138" s="27">
        <f t="shared" si="234"/>
        <v>387.2027046724293</v>
      </c>
      <c r="X138" s="27">
        <f t="shared" si="235"/>
        <v>22.665524175947038</v>
      </c>
      <c r="Y138" s="27">
        <f t="shared" si="236"/>
        <v>34.91133813071694</v>
      </c>
      <c r="AA138" s="24">
        <f t="shared" si="237"/>
        <v>0.9956069926536488</v>
      </c>
      <c r="AB138" s="23">
        <f t="shared" si="215"/>
        <v>0.6520434889516804</v>
      </c>
      <c r="AC138" s="23">
        <f>IF('DadosReais&amp;Graficos'!soilClass&gt;0,0.8-0.1*'DadosReais&amp;Graficos'!soilClass,IF('DadosReais&amp;Graficos'!soilClass&lt;0,SWconst0,999))</f>
        <v>0.6000000000000001</v>
      </c>
      <c r="AD138" s="23">
        <f>IF('DadosReais&amp;Graficos'!soilClass&gt;0,11-2*'DadosReais&amp;Graficos'!soilClass,SWpower0)</f>
        <v>7</v>
      </c>
      <c r="AE138" s="24">
        <f>1/(1+((1-CD138/'DadosReais&amp;Graficos'!MaxASW)/AC138)^AD138)</f>
        <v>0.4314791337423769</v>
      </c>
      <c r="AF138" s="24">
        <f t="shared" si="216"/>
        <v>0.6</v>
      </c>
      <c r="AG138" s="27">
        <f t="shared" si="186"/>
        <v>1</v>
      </c>
      <c r="AH138" s="27">
        <f t="shared" si="217"/>
        <v>1</v>
      </c>
      <c r="AI138" s="27">
        <f t="shared" si="218"/>
        <v>0.9835445390248903</v>
      </c>
      <c r="AJ138" s="24">
        <f t="shared" si="219"/>
        <v>0.42437894569550505</v>
      </c>
      <c r="AM138" s="27">
        <f t="shared" si="255"/>
        <v>711.6162910461426</v>
      </c>
      <c r="AN138" s="27">
        <f t="shared" si="220"/>
        <v>1</v>
      </c>
      <c r="AO138" s="27">
        <f t="shared" si="221"/>
        <v>0.7978139620263363</v>
      </c>
      <c r="AP138" s="27">
        <f t="shared" si="222"/>
        <v>567.7374126020095</v>
      </c>
      <c r="AQ138" s="27">
        <f t="shared" si="223"/>
        <v>0.023238305522818536</v>
      </c>
      <c r="AR138" s="27">
        <f t="shared" si="187"/>
        <v>1.282754464859583</v>
      </c>
      <c r="AS138" s="27">
        <f t="shared" si="256"/>
        <v>1</v>
      </c>
      <c r="AT138" s="25">
        <f t="shared" si="257"/>
        <v>7.28267700883055</v>
      </c>
      <c r="AU138" s="25">
        <f t="shared" si="188"/>
        <v>3.422858194150358</v>
      </c>
      <c r="AW138" s="25">
        <f t="shared" si="189"/>
        <v>0.6</v>
      </c>
      <c r="AX138" s="25">
        <f t="shared" si="224"/>
        <v>0.0899944433932978</v>
      </c>
      <c r="AY138" s="25">
        <f t="shared" si="238"/>
        <v>0.31365060293409625</v>
      </c>
      <c r="AZ138" s="25">
        <f t="shared" si="225"/>
        <v>0.6296815559253741</v>
      </c>
      <c r="BA138" s="25">
        <f t="shared" si="226"/>
        <v>0.056667841140529696</v>
      </c>
      <c r="BB138" s="25">
        <f t="shared" si="239"/>
        <v>0.19396598439267285</v>
      </c>
      <c r="BC138" s="25">
        <f t="shared" si="240"/>
        <v>1.0735815363531718</v>
      </c>
      <c r="BD138" s="25">
        <f t="shared" si="241"/>
        <v>2.155310673404514</v>
      </c>
      <c r="BG138" s="76">
        <f t="shared" si="258"/>
        <v>33725</v>
      </c>
      <c r="BH138" s="30">
        <f t="shared" si="242"/>
        <v>31</v>
      </c>
      <c r="BI138" s="27">
        <f>'PSP-1 Metdata'!D139</f>
        <v>16.800000190734863</v>
      </c>
      <c r="BJ138" s="28">
        <f>'PSP-1 Metdata'!E139</f>
        <v>23.700000762939453</v>
      </c>
      <c r="BK138" s="28">
        <f>'PSP-1 Metdata'!F139</f>
        <v>9.899999618530273</v>
      </c>
      <c r="BL138" s="28">
        <f>'PSP-1 Metdata'!G139</f>
        <v>40.4</v>
      </c>
      <c r="BM138" s="28">
        <f>'PSP-1 Metdata'!I139</f>
        <v>22.955364227294922</v>
      </c>
      <c r="BN138" s="28">
        <f>'PSP-1 Metdata'!J139</f>
        <v>5</v>
      </c>
      <c r="BO138" s="28">
        <f>'PSP-1 Metdata'!K139</f>
        <v>0</v>
      </c>
      <c r="BP138" s="25">
        <f>'PSP-1 Metdata'!L139</f>
        <v>29.302454577051467</v>
      </c>
      <c r="BQ138" s="25">
        <f>'PSP-1 Metdata'!M139</f>
        <v>12.196693839701425</v>
      </c>
      <c r="BR138" s="25">
        <f>'PSP-1 Metdata'!N139</f>
        <v>8.552880368675021</v>
      </c>
      <c r="BT138" s="25">
        <f t="shared" si="259"/>
        <v>51049.507507765746</v>
      </c>
      <c r="BU138" s="25">
        <f t="shared" si="243"/>
        <v>269.7349372869528</v>
      </c>
      <c r="BV138" s="25">
        <f t="shared" si="196"/>
        <v>0.2</v>
      </c>
      <c r="BW138" s="25">
        <f t="shared" si="244"/>
        <v>3140.8639943320863</v>
      </c>
      <c r="BX138" s="25">
        <f t="shared" si="245"/>
        <v>0.00814892719331949</v>
      </c>
      <c r="BY138" s="25">
        <f t="shared" si="227"/>
        <v>27.7431079767114</v>
      </c>
      <c r="BZ138" s="25">
        <f t="shared" si="228"/>
        <v>134.60210944996058</v>
      </c>
      <c r="CA138" s="27">
        <f t="shared" si="229"/>
        <v>2.7932404052548248</v>
      </c>
      <c r="CB138" s="139">
        <f t="shared" si="260"/>
        <v>86.59045256289957</v>
      </c>
      <c r="CD138" s="27">
        <f>IF(CJ137&lt;'DadosReais&amp;Graficos'!MinASW,'DadosReais&amp;Graficos'!MinASW,IF(CJ137&gt;'DadosReais&amp;Graficos'!MaxASW,'DadosReais&amp;Graficos'!MaxASW,CJ137))</f>
        <v>75.17728660398711</v>
      </c>
      <c r="CE138" s="25">
        <f t="shared" si="246"/>
        <v>6.06</v>
      </c>
      <c r="CG138" s="27">
        <f t="shared" si="247"/>
        <v>115.57728660398712</v>
      </c>
      <c r="CH138" s="27">
        <f t="shared" si="261"/>
        <v>92.65045256289957</v>
      </c>
      <c r="CI138" s="27">
        <f>MAX(CG138-CH138-'DadosReais&amp;Graficos'!MaxASW,0)</f>
        <v>0</v>
      </c>
      <c r="CJ138" s="27">
        <f t="shared" si="262"/>
        <v>22.926834041087545</v>
      </c>
      <c r="CK138" s="27">
        <f>poolFractn*Month!CI138</f>
        <v>0</v>
      </c>
      <c r="CQ138" s="25">
        <f>SIN(PI()*'DadosReais&amp;Graficos'!Lat/180)</f>
        <v>0.6293203910498374</v>
      </c>
      <c r="CR138" s="25">
        <f>COS(PI()*'DadosReais&amp;Graficos'!Lat/180)</f>
        <v>0.7771459614569709</v>
      </c>
      <c r="CS138" s="25">
        <f t="shared" si="230"/>
        <v>1992</v>
      </c>
      <c r="CT138" s="29">
        <f t="shared" si="265"/>
        <v>33604</v>
      </c>
      <c r="CU138" s="30">
        <f t="shared" si="263"/>
        <v>5</v>
      </c>
      <c r="CV138" s="27">
        <f t="shared" si="248"/>
        <v>136</v>
      </c>
      <c r="CW138" s="25">
        <f t="shared" si="266"/>
        <v>0.328409053946799</v>
      </c>
      <c r="CX138" s="25">
        <f t="shared" si="231"/>
        <v>-0.2815567874772962</v>
      </c>
      <c r="CY138" s="25">
        <f t="shared" si="267"/>
        <v>0.5908507813398813</v>
      </c>
      <c r="CZ138" s="25">
        <f t="shared" si="268"/>
        <v>51049.507507765746</v>
      </c>
    </row>
    <row r="139" spans="1:104" ht="12.75">
      <c r="A139" s="149">
        <f t="shared" si="249"/>
        <v>33752</v>
      </c>
      <c r="B139" s="60">
        <f t="shared" si="232"/>
        <v>17.17</v>
      </c>
      <c r="C139" s="78">
        <f t="shared" si="233"/>
        <v>17.1666666666667</v>
      </c>
      <c r="D139" s="171">
        <f t="shared" si="250"/>
        <v>160637.75598592297</v>
      </c>
      <c r="E139" s="30">
        <f t="shared" si="269"/>
        <v>1111</v>
      </c>
      <c r="F139" s="27">
        <f t="shared" si="251"/>
        <v>8.082894254520557</v>
      </c>
      <c r="G139" s="27">
        <f t="shared" si="252"/>
        <v>38.44851982893454</v>
      </c>
      <c r="H139" s="27">
        <f t="shared" si="253"/>
        <v>207.53401390773152</v>
      </c>
      <c r="I139" s="27">
        <f t="shared" si="254"/>
        <v>215.6169081622521</v>
      </c>
      <c r="J139" s="27">
        <f t="shared" si="207"/>
        <v>254.06542799118662</v>
      </c>
      <c r="K139" s="27">
        <f t="shared" si="208"/>
        <v>4.000000000000044</v>
      </c>
      <c r="L139" s="27">
        <f t="shared" si="209"/>
        <v>3.233157701808259</v>
      </c>
      <c r="M139" s="27">
        <f t="shared" si="210"/>
        <v>13.79846653763873</v>
      </c>
      <c r="O139" s="25">
        <f t="shared" si="180"/>
        <v>0.013</v>
      </c>
      <c r="P139" s="25">
        <f t="shared" si="211"/>
        <v>0.10507762530876724</v>
      </c>
      <c r="Q139" s="25">
        <f t="shared" si="212"/>
        <v>0.38448519828934546</v>
      </c>
      <c r="S139" s="27">
        <f t="shared" si="264"/>
        <v>186.799292446203</v>
      </c>
      <c r="T139" s="27">
        <f t="shared" si="181"/>
        <v>20.07967339972582</v>
      </c>
      <c r="U139" s="27">
        <f t="shared" si="213"/>
        <v>0.15156426545410548</v>
      </c>
      <c r="V139" s="27">
        <f t="shared" si="214"/>
        <v>0.45</v>
      </c>
      <c r="W139" s="27">
        <f t="shared" si="234"/>
        <v>391.2872745179202</v>
      </c>
      <c r="X139" s="27">
        <f t="shared" si="235"/>
        <v>22.79343346706327</v>
      </c>
      <c r="Y139" s="27">
        <f t="shared" si="236"/>
        <v>35.1817330994878</v>
      </c>
      <c r="AA139" s="24">
        <f t="shared" si="237"/>
        <v>0.9894660663854089</v>
      </c>
      <c r="AB139" s="23">
        <f t="shared" si="215"/>
        <v>0.741882210047062</v>
      </c>
      <c r="AC139" s="23">
        <f>IF('DadosReais&amp;Graficos'!soilClass&gt;0,0.8-0.1*'DadosReais&amp;Graficos'!soilClass,IF('DadosReais&amp;Graficos'!soilClass&lt;0,SWconst0,999))</f>
        <v>0.6000000000000001</v>
      </c>
      <c r="AD139" s="23">
        <f>IF('DadosReais&amp;Graficos'!soilClass&gt;0,11-2*'DadosReais&amp;Graficos'!soilClass,SWpower0)</f>
        <v>7</v>
      </c>
      <c r="AE139" s="24">
        <f>1/(1+((1-CD139/'DadosReais&amp;Graficos'!MaxASW)/AC139)^AD139)</f>
        <v>0.06160089755978852</v>
      </c>
      <c r="AF139" s="24">
        <f t="shared" si="216"/>
        <v>0.6</v>
      </c>
      <c r="AG139" s="27">
        <f t="shared" si="186"/>
        <v>1</v>
      </c>
      <c r="AH139" s="27">
        <f t="shared" si="217"/>
        <v>1</v>
      </c>
      <c r="AI139" s="27">
        <f t="shared" si="218"/>
        <v>0.9832265250275114</v>
      </c>
      <c r="AJ139" s="24">
        <f t="shared" si="219"/>
        <v>0.06056763644628658</v>
      </c>
      <c r="AM139" s="27">
        <f t="shared" si="255"/>
        <v>776.3426971435547</v>
      </c>
      <c r="AN139" s="27">
        <f t="shared" si="220"/>
        <v>1</v>
      </c>
      <c r="AO139" s="27">
        <f t="shared" si="221"/>
        <v>0.8014231005100741</v>
      </c>
      <c r="AP139" s="27">
        <f t="shared" si="222"/>
        <v>622.1789714031411</v>
      </c>
      <c r="AQ139" s="27">
        <f t="shared" si="223"/>
        <v>0.003296129154162279</v>
      </c>
      <c r="AR139" s="27">
        <f t="shared" si="187"/>
        <v>0.1819463293097578</v>
      </c>
      <c r="AS139" s="27">
        <f t="shared" si="256"/>
        <v>1</v>
      </c>
      <c r="AT139" s="25">
        <f t="shared" si="257"/>
        <v>1.1320318002052228</v>
      </c>
      <c r="AU139" s="25">
        <f t="shared" si="188"/>
        <v>0.5320549460964547</v>
      </c>
      <c r="AW139" s="25">
        <f t="shared" si="189"/>
        <v>0.6</v>
      </c>
      <c r="AX139" s="25">
        <f t="shared" si="224"/>
        <v>0.0898130988794994</v>
      </c>
      <c r="AY139" s="25">
        <f t="shared" si="238"/>
        <v>0.4609167099883684</v>
      </c>
      <c r="AZ139" s="25">
        <f t="shared" si="225"/>
        <v>0.49465664393820796</v>
      </c>
      <c r="BA139" s="25">
        <f t="shared" si="226"/>
        <v>0.044426646073423615</v>
      </c>
      <c r="BB139" s="25">
        <f t="shared" si="239"/>
        <v>0.02363741678184167</v>
      </c>
      <c r="BC139" s="25">
        <f t="shared" si="240"/>
        <v>0.24523301528781657</v>
      </c>
      <c r="BD139" s="25">
        <f t="shared" si="241"/>
        <v>0.2631845140267964</v>
      </c>
      <c r="BG139" s="76">
        <f t="shared" si="258"/>
        <v>33756</v>
      </c>
      <c r="BH139" s="30">
        <f t="shared" si="242"/>
        <v>30</v>
      </c>
      <c r="BI139" s="27">
        <f>'PSP-1 Metdata'!D140</f>
        <v>17.25</v>
      </c>
      <c r="BJ139" s="28">
        <f>'PSP-1 Metdata'!E140</f>
        <v>22</v>
      </c>
      <c r="BK139" s="28">
        <f>'PSP-1 Metdata'!F140</f>
        <v>12.5</v>
      </c>
      <c r="BL139" s="28">
        <f>'PSP-1 Metdata'!G140</f>
        <v>41.03999938964844</v>
      </c>
      <c r="BM139" s="28">
        <f>'PSP-1 Metdata'!I140</f>
        <v>25.878089904785156</v>
      </c>
      <c r="BN139" s="28">
        <f>'PSP-1 Metdata'!J140</f>
        <v>11</v>
      </c>
      <c r="BO139" s="28">
        <f>'PSP-1 Metdata'!K140</f>
        <v>0</v>
      </c>
      <c r="BP139" s="25">
        <f>'PSP-1 Metdata'!L140</f>
        <v>26.436203151442896</v>
      </c>
      <c r="BQ139" s="25">
        <f>'PSP-1 Metdata'!M140</f>
        <v>14.49361135209776</v>
      </c>
      <c r="BR139" s="25">
        <f>'PSP-1 Metdata'!N140</f>
        <v>5.971295899672568</v>
      </c>
      <c r="BT139" s="25">
        <f t="shared" si="259"/>
        <v>53082.57808162483</v>
      </c>
      <c r="BU139" s="25">
        <f t="shared" si="243"/>
        <v>300.00501995200824</v>
      </c>
      <c r="BV139" s="25">
        <f t="shared" si="196"/>
        <v>0.2</v>
      </c>
      <c r="BW139" s="25">
        <f t="shared" si="244"/>
        <v>2192.831827681678</v>
      </c>
      <c r="BX139" s="25">
        <f t="shared" si="245"/>
        <v>0.0011761244459857901</v>
      </c>
      <c r="BY139" s="25">
        <f t="shared" si="227"/>
        <v>173.2500322755951</v>
      </c>
      <c r="BZ139" s="25">
        <f t="shared" si="228"/>
        <v>16.466622453714617</v>
      </c>
      <c r="CA139" s="27">
        <f t="shared" si="229"/>
        <v>0.35532145208940763</v>
      </c>
      <c r="CB139" s="139">
        <f t="shared" si="260"/>
        <v>10.659643562682229</v>
      </c>
      <c r="CD139" s="27">
        <f>IF(CJ138&lt;'DadosReais&amp;Graficos'!MinASW,'DadosReais&amp;Graficos'!MinASW,IF(CJ138&gt;'DadosReais&amp;Graficos'!MaxASW,'DadosReais&amp;Graficos'!MaxASW,CJ138))</f>
        <v>22.926834041087545</v>
      </c>
      <c r="CE139" s="25">
        <f t="shared" si="246"/>
        <v>6.155999908447266</v>
      </c>
      <c r="CG139" s="27">
        <f t="shared" si="247"/>
        <v>63.96683343073599</v>
      </c>
      <c r="CH139" s="27">
        <f t="shared" si="261"/>
        <v>16.815643471129494</v>
      </c>
      <c r="CI139" s="27">
        <f>MAX(CG139-CH139-'DadosReais&amp;Graficos'!MaxASW,0)</f>
        <v>0</v>
      </c>
      <c r="CJ139" s="27">
        <f t="shared" si="262"/>
        <v>47.1511899596065</v>
      </c>
      <c r="CK139" s="27">
        <f>poolFractn*Month!CI139</f>
        <v>0</v>
      </c>
      <c r="CQ139" s="25">
        <f>SIN(PI()*'DadosReais&amp;Graficos'!Lat/180)</f>
        <v>0.6293203910498374</v>
      </c>
      <c r="CR139" s="25">
        <f>COS(PI()*'DadosReais&amp;Graficos'!Lat/180)</f>
        <v>0.7771459614569709</v>
      </c>
      <c r="CS139" s="25">
        <f t="shared" si="230"/>
        <v>1992</v>
      </c>
      <c r="CT139" s="29">
        <f t="shared" si="265"/>
        <v>33604</v>
      </c>
      <c r="CU139" s="30">
        <f t="shared" si="263"/>
        <v>6</v>
      </c>
      <c r="CV139" s="27">
        <f t="shared" si="248"/>
        <v>166</v>
      </c>
      <c r="CW139" s="25">
        <f t="shared" si="266"/>
        <v>0.3983231954255811</v>
      </c>
      <c r="CX139" s="25">
        <f t="shared" si="231"/>
        <v>-0.3516571006926921</v>
      </c>
      <c r="CY139" s="25">
        <f t="shared" si="267"/>
        <v>0.6143816907595466</v>
      </c>
      <c r="CZ139" s="25">
        <f t="shared" si="268"/>
        <v>53082.57808162483</v>
      </c>
    </row>
    <row r="140" spans="1:104" ht="12.75">
      <c r="A140" s="149">
        <f t="shared" si="249"/>
        <v>33783</v>
      </c>
      <c r="B140" s="60">
        <f t="shared" si="232"/>
        <v>17.25</v>
      </c>
      <c r="C140" s="78">
        <f t="shared" si="233"/>
        <v>17.250000000000032</v>
      </c>
      <c r="D140" s="171">
        <f t="shared" si="250"/>
        <v>160596.12184787658</v>
      </c>
      <c r="E140" s="30">
        <f t="shared" si="269"/>
        <v>1111</v>
      </c>
      <c r="F140" s="27">
        <f t="shared" si="251"/>
        <v>8.001454045993631</v>
      </c>
      <c r="G140" s="27">
        <f t="shared" si="252"/>
        <v>38.30926764593301</v>
      </c>
      <c r="H140" s="27">
        <f t="shared" si="253"/>
        <v>207.7971984217583</v>
      </c>
      <c r="I140" s="27">
        <f t="shared" si="254"/>
        <v>215.79865246775194</v>
      </c>
      <c r="J140" s="27">
        <f t="shared" si="207"/>
        <v>254.10792011368494</v>
      </c>
      <c r="K140" s="27">
        <f t="shared" si="208"/>
        <v>4.000000000000033</v>
      </c>
      <c r="L140" s="27">
        <f t="shared" si="209"/>
        <v>3.2005816183974787</v>
      </c>
      <c r="M140" s="27">
        <f t="shared" si="210"/>
        <v>13.903544162947497</v>
      </c>
      <c r="O140" s="25">
        <f t="shared" si="180"/>
        <v>0.013</v>
      </c>
      <c r="P140" s="25">
        <f t="shared" si="211"/>
        <v>0.1040189025979172</v>
      </c>
      <c r="Q140" s="25">
        <f t="shared" si="212"/>
        <v>0.38309267645933015</v>
      </c>
      <c r="S140" s="27">
        <f t="shared" si="264"/>
        <v>187.03618219780228</v>
      </c>
      <c r="T140" s="27">
        <f t="shared" si="181"/>
        <v>20.089079167831063</v>
      </c>
      <c r="U140" s="27">
        <f t="shared" si="213"/>
        <v>0.15151973385310663</v>
      </c>
      <c r="V140" s="27">
        <f t="shared" si="214"/>
        <v>0.45</v>
      </c>
      <c r="W140" s="27">
        <f t="shared" si="234"/>
        <v>391.8040493810495</v>
      </c>
      <c r="X140" s="27">
        <f t="shared" si="235"/>
        <v>22.713278224988333</v>
      </c>
      <c r="Y140" s="27">
        <f t="shared" si="236"/>
        <v>35.21470064030325</v>
      </c>
      <c r="AA140" s="24">
        <f t="shared" si="237"/>
        <v>0.8761329823053307</v>
      </c>
      <c r="AB140" s="23">
        <f t="shared" si="215"/>
        <v>0.6698542972400667</v>
      </c>
      <c r="AC140" s="23">
        <f>IF('DadosReais&amp;Graficos'!soilClass&gt;0,0.8-0.1*'DadosReais&amp;Graficos'!soilClass,IF('DadosReais&amp;Graficos'!soilClass&lt;0,SWconst0,999))</f>
        <v>0.6000000000000001</v>
      </c>
      <c r="AD140" s="23">
        <f>IF('DadosReais&amp;Graficos'!soilClass&gt;0,11-2*'DadosReais&amp;Graficos'!soilClass,SWpower0)</f>
        <v>7</v>
      </c>
      <c r="AE140" s="24">
        <f>1/(1+((1-CD140/'DadosReais&amp;Graficos'!MaxASW)/AC140)^AD140)</f>
        <v>0.15528952697787024</v>
      </c>
      <c r="AF140" s="24">
        <f t="shared" si="216"/>
        <v>0.6</v>
      </c>
      <c r="AG140" s="27">
        <f t="shared" si="186"/>
        <v>1</v>
      </c>
      <c r="AH140" s="27">
        <f t="shared" si="217"/>
        <v>1</v>
      </c>
      <c r="AI140" s="27">
        <f t="shared" si="218"/>
        <v>0.9829040560086713</v>
      </c>
      <c r="AJ140" s="24">
        <f t="shared" si="219"/>
        <v>0.15263470592221665</v>
      </c>
      <c r="AM140" s="27">
        <f t="shared" si="255"/>
        <v>816.6302337646484</v>
      </c>
      <c r="AN140" s="27">
        <f t="shared" si="220"/>
        <v>1</v>
      </c>
      <c r="AO140" s="27">
        <f t="shared" si="221"/>
        <v>0.7981621868336051</v>
      </c>
      <c r="AP140" s="27">
        <f t="shared" si="222"/>
        <v>651.8033732160299</v>
      </c>
      <c r="AQ140" s="27">
        <f t="shared" si="223"/>
        <v>0.007355056505661084</v>
      </c>
      <c r="AR140" s="27">
        <f t="shared" si="187"/>
        <v>0.4059991191124918</v>
      </c>
      <c r="AS140" s="27">
        <f t="shared" si="256"/>
        <v>1</v>
      </c>
      <c r="AT140" s="25">
        <f t="shared" si="257"/>
        <v>2.646315953602589</v>
      </c>
      <c r="AU140" s="25">
        <f t="shared" si="188"/>
        <v>1.2437684981932167</v>
      </c>
      <c r="AW140" s="25">
        <f t="shared" si="189"/>
        <v>0.6</v>
      </c>
      <c r="AX140" s="25">
        <f t="shared" si="224"/>
        <v>0.08979110897092978</v>
      </c>
      <c r="AY140" s="25">
        <f t="shared" si="238"/>
        <v>0.4119672911352076</v>
      </c>
      <c r="AZ140" s="25">
        <f t="shared" si="225"/>
        <v>0.539582956792574</v>
      </c>
      <c r="BA140" s="25">
        <f t="shared" si="226"/>
        <v>0.048449752072218466</v>
      </c>
      <c r="BB140" s="25">
        <f t="shared" si="239"/>
        <v>0.06026027537269685</v>
      </c>
      <c r="BC140" s="25">
        <f t="shared" si="240"/>
        <v>0.5123919389999648</v>
      </c>
      <c r="BD140" s="25">
        <f t="shared" si="241"/>
        <v>0.671116283820555</v>
      </c>
      <c r="BG140" s="76">
        <f t="shared" si="258"/>
        <v>33786</v>
      </c>
      <c r="BH140" s="30">
        <f t="shared" si="242"/>
        <v>31</v>
      </c>
      <c r="BI140" s="27">
        <f>'PSP-1 Metdata'!D141</f>
        <v>20.59999990463257</v>
      </c>
      <c r="BJ140" s="28">
        <f>'PSP-1 Metdata'!E141</f>
        <v>25.899999618530273</v>
      </c>
      <c r="BK140" s="28">
        <f>'PSP-1 Metdata'!F141</f>
        <v>15.300000190734863</v>
      </c>
      <c r="BL140" s="28">
        <f>'PSP-1 Metdata'!G141</f>
        <v>0</v>
      </c>
      <c r="BM140" s="28">
        <f>'PSP-1 Metdata'!I141</f>
        <v>26.342910766601562</v>
      </c>
      <c r="BN140" s="28">
        <f>'PSP-1 Metdata'!J141</f>
        <v>0</v>
      </c>
      <c r="BO140" s="28">
        <f>'PSP-1 Metdata'!K141</f>
        <v>0</v>
      </c>
      <c r="BP140" s="25">
        <f>'PSP-1 Metdata'!L141</f>
        <v>33.41181919227695</v>
      </c>
      <c r="BQ140" s="25">
        <f>'PSP-1 Metdata'!M141</f>
        <v>17.38401691018374</v>
      </c>
      <c r="BR140" s="25">
        <f>'PSP-1 Metdata'!N141</f>
        <v>8.013901141046606</v>
      </c>
      <c r="BT140" s="25">
        <f t="shared" si="259"/>
        <v>51987.026278968784</v>
      </c>
      <c r="BU140" s="25">
        <f t="shared" si="243"/>
        <v>315.37668956469656</v>
      </c>
      <c r="BV140" s="25">
        <f t="shared" si="196"/>
        <v>0.2</v>
      </c>
      <c r="BW140" s="25">
        <f t="shared" si="244"/>
        <v>2942.9352993451766</v>
      </c>
      <c r="BX140" s="25">
        <f t="shared" si="245"/>
        <v>0.0029340530576825907</v>
      </c>
      <c r="BY140" s="25">
        <f t="shared" si="227"/>
        <v>71.36509315546135</v>
      </c>
      <c r="BZ140" s="25">
        <f t="shared" si="228"/>
        <v>50.95998415451096</v>
      </c>
      <c r="CA140" s="27">
        <f t="shared" si="229"/>
        <v>1.0769341607383716</v>
      </c>
      <c r="CB140" s="139">
        <f t="shared" si="260"/>
        <v>33.384958982889515</v>
      </c>
      <c r="CD140" s="27">
        <f>IF(CJ139&lt;'DadosReais&amp;Graficos'!MinASW,'DadosReais&amp;Graficos'!MinASW,IF(CJ139&gt;'DadosReais&amp;Graficos'!MaxASW,'DadosReais&amp;Graficos'!MaxASW,CJ139))</f>
        <v>47.1511899596065</v>
      </c>
      <c r="CE140" s="25">
        <f t="shared" si="246"/>
        <v>0</v>
      </c>
      <c r="CG140" s="27">
        <f t="shared" si="247"/>
        <v>47.1511899596065</v>
      </c>
      <c r="CH140" s="27">
        <f t="shared" si="261"/>
        <v>33.384958982889515</v>
      </c>
      <c r="CI140" s="27">
        <f>MAX(CG140-CH140-'DadosReais&amp;Graficos'!MaxASW,0)</f>
        <v>0</v>
      </c>
      <c r="CJ140" s="27">
        <f t="shared" si="262"/>
        <v>13.766230976716983</v>
      </c>
      <c r="CK140" s="27">
        <f>poolFractn*Month!CI140</f>
        <v>0</v>
      </c>
      <c r="CQ140" s="25">
        <f>SIN(PI()*'DadosReais&amp;Graficos'!Lat/180)</f>
        <v>0.6293203910498374</v>
      </c>
      <c r="CR140" s="25">
        <f>COS(PI()*'DadosReais&amp;Graficos'!Lat/180)</f>
        <v>0.7771459614569709</v>
      </c>
      <c r="CS140" s="25">
        <f t="shared" si="230"/>
        <v>1992</v>
      </c>
      <c r="CT140" s="29">
        <f t="shared" si="265"/>
        <v>33604</v>
      </c>
      <c r="CU140" s="30">
        <f t="shared" si="263"/>
        <v>7</v>
      </c>
      <c r="CV140" s="27">
        <f t="shared" si="248"/>
        <v>197</v>
      </c>
      <c r="CW140" s="25">
        <f t="shared" si="266"/>
        <v>0.3616269729601193</v>
      </c>
      <c r="CX140" s="25">
        <f t="shared" si="231"/>
        <v>-0.3140969275246581</v>
      </c>
      <c r="CY140" s="25">
        <f t="shared" si="267"/>
        <v>0.6017016930436202</v>
      </c>
      <c r="CZ140" s="25">
        <f t="shared" si="268"/>
        <v>51987.026278968784</v>
      </c>
    </row>
    <row r="141" spans="1:104" ht="12.75">
      <c r="A141" s="149">
        <f t="shared" si="249"/>
        <v>33813</v>
      </c>
      <c r="B141" s="60">
        <f t="shared" si="232"/>
        <v>17.33</v>
      </c>
      <c r="C141" s="78">
        <f t="shared" si="233"/>
        <v>17.333333333333364</v>
      </c>
      <c r="D141" s="171">
        <f t="shared" si="250"/>
        <v>159857.70532741</v>
      </c>
      <c r="E141" s="30">
        <f t="shared" si="269"/>
        <v>1111</v>
      </c>
      <c r="F141" s="27">
        <f t="shared" si="251"/>
        <v>7.95769541876841</v>
      </c>
      <c r="G141" s="27">
        <f t="shared" si="252"/>
        <v>38.438566908473646</v>
      </c>
      <c r="H141" s="27">
        <f t="shared" si="253"/>
        <v>208.46831470557888</v>
      </c>
      <c r="I141" s="27">
        <f t="shared" si="254"/>
        <v>216.4260101243473</v>
      </c>
      <c r="J141" s="27">
        <f t="shared" si="207"/>
        <v>254.86457703282093</v>
      </c>
      <c r="K141" s="27">
        <f t="shared" si="208"/>
        <v>4.000000000000024</v>
      </c>
      <c r="L141" s="27">
        <f t="shared" si="209"/>
        <v>3.1830781675073836</v>
      </c>
      <c r="M141" s="27">
        <f t="shared" si="210"/>
        <v>14.007563065545414</v>
      </c>
      <c r="O141" s="25">
        <f t="shared" si="180"/>
        <v>0.013</v>
      </c>
      <c r="P141" s="25">
        <f t="shared" si="211"/>
        <v>0.10345004044398932</v>
      </c>
      <c r="Q141" s="25">
        <f t="shared" si="212"/>
        <v>0.3843856690847365</v>
      </c>
      <c r="S141" s="27">
        <f t="shared" si="264"/>
        <v>187.64024725974696</v>
      </c>
      <c r="T141" s="27">
        <f t="shared" si="181"/>
        <v>20.113029779879255</v>
      </c>
      <c r="U141" s="27">
        <f t="shared" si="213"/>
        <v>0.15147646998034553</v>
      </c>
      <c r="V141" s="27">
        <f t="shared" si="214"/>
        <v>0.45</v>
      </c>
      <c r="W141" s="27">
        <f t="shared" si="234"/>
        <v>393.08948953605784</v>
      </c>
      <c r="X141" s="27">
        <f t="shared" si="235"/>
        <v>22.678239780926372</v>
      </c>
      <c r="Y141" s="27">
        <f t="shared" si="236"/>
        <v>35.29871807026024</v>
      </c>
      <c r="AA141" s="24">
        <f t="shared" si="237"/>
        <v>0.8712602510067237</v>
      </c>
      <c r="AB141" s="23">
        <f t="shared" si="215"/>
        <v>0.6478960396647464</v>
      </c>
      <c r="AC141" s="23">
        <f>IF('DadosReais&amp;Graficos'!soilClass&gt;0,0.8-0.1*'DadosReais&amp;Graficos'!soilClass,IF('DadosReais&amp;Graficos'!soilClass&lt;0,SWconst0,999))</f>
        <v>0.6000000000000001</v>
      </c>
      <c r="AD141" s="23">
        <f>IF('DadosReais&amp;Graficos'!soilClass&gt;0,11-2*'DadosReais&amp;Graficos'!soilClass,SWpower0)</f>
        <v>7</v>
      </c>
      <c r="AE141" s="24">
        <f>1/(1+((1-CD141/'DadosReais&amp;Graficos'!MaxASW)/AC141)^AD141)</f>
        <v>0.04408384773689006</v>
      </c>
      <c r="AF141" s="24">
        <f t="shared" si="216"/>
        <v>0.6</v>
      </c>
      <c r="AG141" s="27">
        <f t="shared" si="186"/>
        <v>1</v>
      </c>
      <c r="AH141" s="27">
        <f t="shared" si="217"/>
        <v>1</v>
      </c>
      <c r="AI141" s="27">
        <f t="shared" si="218"/>
        <v>0.9825770956079759</v>
      </c>
      <c r="AJ141" s="24">
        <f t="shared" si="219"/>
        <v>0.043315779072537676</v>
      </c>
      <c r="AM141" s="27">
        <f t="shared" si="255"/>
        <v>748.4834251403809</v>
      </c>
      <c r="AN141" s="27">
        <f t="shared" si="220"/>
        <v>1</v>
      </c>
      <c r="AO141" s="27">
        <f t="shared" si="221"/>
        <v>0.7963880054582979</v>
      </c>
      <c r="AP141" s="27">
        <f t="shared" si="222"/>
        <v>596.0832220661431</v>
      </c>
      <c r="AQ141" s="27">
        <f t="shared" si="223"/>
        <v>0.002075662410101003</v>
      </c>
      <c r="AR141" s="27">
        <f t="shared" si="187"/>
        <v>0.11457656503757535</v>
      </c>
      <c r="AS141" s="27">
        <f t="shared" si="256"/>
        <v>1</v>
      </c>
      <c r="AT141" s="25">
        <f t="shared" si="257"/>
        <v>0.6829716806086892</v>
      </c>
      <c r="AU141" s="25">
        <f t="shared" si="188"/>
        <v>0.3209966898860839</v>
      </c>
      <c r="AW141" s="25">
        <f t="shared" si="189"/>
        <v>0.6</v>
      </c>
      <c r="AX141" s="25">
        <f t="shared" si="224"/>
        <v>0.08973518514546139</v>
      </c>
      <c r="AY141" s="25">
        <f t="shared" si="238"/>
        <v>0.47141255696281037</v>
      </c>
      <c r="AZ141" s="25">
        <f t="shared" si="225"/>
        <v>0.4850604534409267</v>
      </c>
      <c r="BA141" s="25">
        <f t="shared" si="226"/>
        <v>0.043526989596262944</v>
      </c>
      <c r="BB141" s="25">
        <f t="shared" si="239"/>
        <v>0.013972019581106415</v>
      </c>
      <c r="BC141" s="25">
        <f t="shared" si="240"/>
        <v>0.15132187035579708</v>
      </c>
      <c r="BD141" s="25">
        <f t="shared" si="241"/>
        <v>0.15570279994918038</v>
      </c>
      <c r="BG141" s="76">
        <f t="shared" si="258"/>
        <v>33817</v>
      </c>
      <c r="BH141" s="30">
        <f t="shared" si="242"/>
        <v>31</v>
      </c>
      <c r="BI141" s="27">
        <f>'PSP-1 Metdata'!D142</f>
        <v>20.699999809265137</v>
      </c>
      <c r="BJ141" s="28">
        <f>'PSP-1 Metdata'!E142</f>
        <v>26.399999618530273</v>
      </c>
      <c r="BK141" s="28">
        <f>'PSP-1 Metdata'!F142</f>
        <v>15</v>
      </c>
      <c r="BL141" s="28">
        <f>'PSP-1 Metdata'!G142</f>
        <v>21.11999969482422</v>
      </c>
      <c r="BM141" s="28">
        <f>'PSP-1 Metdata'!I142</f>
        <v>24.14462661743164</v>
      </c>
      <c r="BN141" s="28">
        <f>'PSP-1 Metdata'!J142</f>
        <v>3</v>
      </c>
      <c r="BO141" s="28">
        <f>'PSP-1 Metdata'!K142</f>
        <v>0</v>
      </c>
      <c r="BP141" s="25">
        <f>'PSP-1 Metdata'!L142</f>
        <v>34.41289123153068</v>
      </c>
      <c r="BQ141" s="25">
        <f>'PSP-1 Metdata'!M142</f>
        <v>17.05189010686335</v>
      </c>
      <c r="BR141" s="25">
        <f>'PSP-1 Metdata'!N142</f>
        <v>8.680500562333664</v>
      </c>
      <c r="BT141" s="25">
        <f t="shared" si="259"/>
        <v>48361.75661678577</v>
      </c>
      <c r="BU141" s="25">
        <f t="shared" si="243"/>
        <v>309.400324661513</v>
      </c>
      <c r="BV141" s="25">
        <f t="shared" si="196"/>
        <v>0.2</v>
      </c>
      <c r="BW141" s="25">
        <f t="shared" si="244"/>
        <v>3187.729804905117</v>
      </c>
      <c r="BX141" s="25">
        <f t="shared" si="245"/>
        <v>0.0008280931572034108</v>
      </c>
      <c r="BY141" s="25">
        <f t="shared" si="227"/>
        <v>244.7187207625633</v>
      </c>
      <c r="BZ141" s="25">
        <f t="shared" si="228"/>
        <v>15.80757903239346</v>
      </c>
      <c r="CA141" s="27">
        <f t="shared" si="229"/>
        <v>0.31076515848179614</v>
      </c>
      <c r="CB141" s="139">
        <f t="shared" si="260"/>
        <v>9.63371991293568</v>
      </c>
      <c r="CD141" s="27">
        <f>IF(CJ140&lt;'DadosReais&amp;Graficos'!MinASW,'DadosReais&amp;Graficos'!MinASW,IF(CJ140&gt;'DadosReais&amp;Graficos'!MaxASW,'DadosReais&amp;Graficos'!MaxASW,CJ140))</f>
        <v>13.766230976716983</v>
      </c>
      <c r="CE141" s="25">
        <f t="shared" si="246"/>
        <v>3.167999954223633</v>
      </c>
      <c r="CG141" s="27">
        <f t="shared" si="247"/>
        <v>34.8862306715412</v>
      </c>
      <c r="CH141" s="27">
        <f t="shared" si="261"/>
        <v>12.801719867159314</v>
      </c>
      <c r="CI141" s="27">
        <f>MAX(CG141-CH141-'DadosReais&amp;Graficos'!MaxASW,0)</f>
        <v>0</v>
      </c>
      <c r="CJ141" s="27">
        <f t="shared" si="262"/>
        <v>22.084510804381885</v>
      </c>
      <c r="CK141" s="27">
        <f>poolFractn*Month!CI141</f>
        <v>0</v>
      </c>
      <c r="CQ141" s="25">
        <f>SIN(PI()*'DadosReais&amp;Graficos'!Lat/180)</f>
        <v>0.6293203910498374</v>
      </c>
      <c r="CR141" s="25">
        <f>COS(PI()*'DadosReais&amp;Graficos'!Lat/180)</f>
        <v>0.7771459614569709</v>
      </c>
      <c r="CS141" s="25">
        <f t="shared" si="230"/>
        <v>1992</v>
      </c>
      <c r="CT141" s="29">
        <f t="shared" si="265"/>
        <v>33604</v>
      </c>
      <c r="CU141" s="30">
        <f t="shared" si="263"/>
        <v>8</v>
      </c>
      <c r="CV141" s="27">
        <f t="shared" si="248"/>
        <v>228</v>
      </c>
      <c r="CW141" s="25">
        <f t="shared" si="266"/>
        <v>0.2245322171168967</v>
      </c>
      <c r="CX141" s="25">
        <f t="shared" si="231"/>
        <v>-0.18658678708195917</v>
      </c>
      <c r="CY141" s="25">
        <f t="shared" si="267"/>
        <v>0.5597425534350206</v>
      </c>
      <c r="CZ141" s="25">
        <f t="shared" si="268"/>
        <v>48361.75661678577</v>
      </c>
    </row>
    <row r="142" spans="1:104" ht="12.75">
      <c r="A142" s="149">
        <f t="shared" si="249"/>
        <v>33844</v>
      </c>
      <c r="B142" s="60">
        <f t="shared" si="232"/>
        <v>17.42</v>
      </c>
      <c r="C142" s="78">
        <f t="shared" si="233"/>
        <v>17.416666666666696</v>
      </c>
      <c r="D142" s="171">
        <f t="shared" si="250"/>
        <v>160020.04177281805</v>
      </c>
      <c r="E142" s="30">
        <f t="shared" si="269"/>
        <v>1111</v>
      </c>
      <c r="F142" s="27">
        <f t="shared" si="251"/>
        <v>7.868217397905528</v>
      </c>
      <c r="G142" s="27">
        <f t="shared" si="252"/>
        <v>38.205503109744704</v>
      </c>
      <c r="H142" s="27">
        <f t="shared" si="253"/>
        <v>208.62401750552806</v>
      </c>
      <c r="I142" s="27">
        <f t="shared" si="254"/>
        <v>216.4922349034336</v>
      </c>
      <c r="J142" s="27">
        <f t="shared" si="207"/>
        <v>254.69773801317828</v>
      </c>
      <c r="K142" s="27">
        <f t="shared" si="208"/>
        <v>4.000000000000017</v>
      </c>
      <c r="L142" s="27">
        <f t="shared" si="209"/>
        <v>3.1472869591622246</v>
      </c>
      <c r="M142" s="27">
        <f t="shared" si="210"/>
        <v>14.111013105989404</v>
      </c>
      <c r="O142" s="25">
        <f t="shared" si="180"/>
        <v>0.013</v>
      </c>
      <c r="P142" s="25">
        <f t="shared" si="211"/>
        <v>0.10228682617277185</v>
      </c>
      <c r="Q142" s="25">
        <f t="shared" si="212"/>
        <v>0.38205503109744704</v>
      </c>
      <c r="S142" s="27">
        <f t="shared" si="264"/>
        <v>187.7803937943547</v>
      </c>
      <c r="T142" s="27">
        <f t="shared" si="181"/>
        <v>20.118579508530043</v>
      </c>
      <c r="U142" s="27">
        <f t="shared" si="213"/>
        <v>0.15143443774606014</v>
      </c>
      <c r="V142" s="27">
        <f t="shared" si="214"/>
        <v>0.45</v>
      </c>
      <c r="W142" s="27">
        <f t="shared" si="234"/>
        <v>393.4025704761205</v>
      </c>
      <c r="X142" s="27">
        <f t="shared" si="235"/>
        <v>22.587707395758077</v>
      </c>
      <c r="Y142" s="27">
        <f t="shared" si="236"/>
        <v>35.31820049891215</v>
      </c>
      <c r="AA142" s="24">
        <f t="shared" si="237"/>
        <v>0.9774810002617994</v>
      </c>
      <c r="AB142" s="23">
        <f t="shared" si="215"/>
        <v>0.6688809163402379</v>
      </c>
      <c r="AC142" s="23">
        <f>IF('DadosReais&amp;Graficos'!soilClass&gt;0,0.8-0.1*'DadosReais&amp;Graficos'!soilClass,IF('DadosReais&amp;Graficos'!soilClass&lt;0,SWconst0,999))</f>
        <v>0.6000000000000001</v>
      </c>
      <c r="AD142" s="23">
        <f>IF('DadosReais&amp;Graficos'!soilClass&gt;0,11-2*'DadosReais&amp;Graficos'!soilClass,SWpower0)</f>
        <v>7</v>
      </c>
      <c r="AE142" s="24">
        <f>1/(1+((1-CD142/'DadosReais&amp;Graficos'!MaxASW)/AC142)^AD142)</f>
        <v>0.05970833942925897</v>
      </c>
      <c r="AF142" s="24">
        <f t="shared" si="216"/>
        <v>0.6</v>
      </c>
      <c r="AG142" s="27">
        <f t="shared" si="186"/>
        <v>1</v>
      </c>
      <c r="AH142" s="27">
        <f t="shared" si="217"/>
        <v>1</v>
      </c>
      <c r="AI142" s="27">
        <f t="shared" si="218"/>
        <v>0.9822456074825286</v>
      </c>
      <c r="AJ142" s="24">
        <f t="shared" si="219"/>
        <v>0.05864825413446549</v>
      </c>
      <c r="AM142" s="27">
        <f t="shared" si="255"/>
        <v>550.7295799255371</v>
      </c>
      <c r="AN142" s="27">
        <f t="shared" si="220"/>
        <v>1</v>
      </c>
      <c r="AO142" s="27">
        <f t="shared" si="221"/>
        <v>0.7927114467983898</v>
      </c>
      <c r="AP142" s="27">
        <f t="shared" si="222"/>
        <v>436.56964209744194</v>
      </c>
      <c r="AQ142" s="27">
        <f t="shared" si="223"/>
        <v>0.003153015476323105</v>
      </c>
      <c r="AR142" s="27">
        <f t="shared" si="187"/>
        <v>0.1740464542930354</v>
      </c>
      <c r="AS142" s="27">
        <f t="shared" si="256"/>
        <v>1</v>
      </c>
      <c r="AT142" s="25">
        <f t="shared" si="257"/>
        <v>0.7598339825903925</v>
      </c>
      <c r="AU142" s="25">
        <f t="shared" si="188"/>
        <v>0.35712197181748445</v>
      </c>
      <c r="AW142" s="25">
        <f t="shared" si="189"/>
        <v>0.6</v>
      </c>
      <c r="AX142" s="25">
        <f t="shared" si="224"/>
        <v>0.0897222411971595</v>
      </c>
      <c r="AY142" s="25">
        <f t="shared" si="238"/>
        <v>0.46206127785123857</v>
      </c>
      <c r="AZ142" s="25">
        <f t="shared" si="225"/>
        <v>0.493647556975424</v>
      </c>
      <c r="BA142" s="25">
        <f t="shared" si="226"/>
        <v>0.04429116517333748</v>
      </c>
      <c r="BB142" s="25">
        <f t="shared" si="239"/>
        <v>0.015817348240796177</v>
      </c>
      <c r="BC142" s="25">
        <f t="shared" si="240"/>
        <v>0.16501223464674086</v>
      </c>
      <c r="BD142" s="25">
        <f t="shared" si="241"/>
        <v>0.17629238892994742</v>
      </c>
      <c r="BG142" s="76">
        <f t="shared" si="258"/>
        <v>33848</v>
      </c>
      <c r="BH142" s="30">
        <f t="shared" si="242"/>
        <v>30</v>
      </c>
      <c r="BI142" s="27">
        <f>'PSP-1 Metdata'!D143</f>
        <v>17.84999990463257</v>
      </c>
      <c r="BJ142" s="28">
        <f>'PSP-1 Metdata'!E143</f>
        <v>24</v>
      </c>
      <c r="BK142" s="28">
        <f>'PSP-1 Metdata'!F143</f>
        <v>11.699999809265137</v>
      </c>
      <c r="BL142" s="28">
        <f>'PSP-1 Metdata'!G143</f>
        <v>33.83999938964844</v>
      </c>
      <c r="BM142" s="28">
        <f>'PSP-1 Metdata'!I143</f>
        <v>18.35765266418457</v>
      </c>
      <c r="BN142" s="28">
        <f>'PSP-1 Metdata'!J143</f>
        <v>4</v>
      </c>
      <c r="BO142" s="28">
        <f>'PSP-1 Metdata'!K143</f>
        <v>0</v>
      </c>
      <c r="BP142" s="25">
        <f>'PSP-1 Metdata'!L143</f>
        <v>29.835457253079163</v>
      </c>
      <c r="BQ142" s="25">
        <f>'PSP-1 Metdata'!M143</f>
        <v>13.749487765911553</v>
      </c>
      <c r="BR142" s="25">
        <f>'PSP-1 Metdata'!N143</f>
        <v>8.042984743583805</v>
      </c>
      <c r="BT142" s="25">
        <f t="shared" si="259"/>
        <v>43912.27946472623</v>
      </c>
      <c r="BU142" s="25">
        <f t="shared" si="243"/>
        <v>244.4422633114434</v>
      </c>
      <c r="BV142" s="25">
        <f t="shared" si="196"/>
        <v>0.2</v>
      </c>
      <c r="BW142" s="25">
        <f t="shared" si="244"/>
        <v>2953.6156358045887</v>
      </c>
      <c r="BX142" s="25">
        <f t="shared" si="245"/>
        <v>0.0011086059184086201</v>
      </c>
      <c r="BY142" s="25">
        <f t="shared" si="227"/>
        <v>183.60675832499223</v>
      </c>
      <c r="BZ142" s="25">
        <f t="shared" si="228"/>
        <v>19.015577895612367</v>
      </c>
      <c r="CA142" s="27">
        <f t="shared" si="229"/>
        <v>0.3394379555834963</v>
      </c>
      <c r="CB142" s="139">
        <f t="shared" si="260"/>
        <v>10.18313866750489</v>
      </c>
      <c r="CD142" s="27">
        <f>IF(CJ141&lt;'DadosReais&amp;Graficos'!MinASW,'DadosReais&amp;Graficos'!MinASW,IF(CJ141&gt;'DadosReais&amp;Graficos'!MaxASW,'DadosReais&amp;Graficos'!MaxASW,CJ141))</f>
        <v>22.084510804381885</v>
      </c>
      <c r="CE142" s="25">
        <f t="shared" si="246"/>
        <v>5.075999908447266</v>
      </c>
      <c r="CG142" s="27">
        <f t="shared" si="247"/>
        <v>55.924510194030326</v>
      </c>
      <c r="CH142" s="27">
        <f t="shared" si="261"/>
        <v>15.259138575952157</v>
      </c>
      <c r="CI142" s="27">
        <f>MAX(CG142-CH142-'DadosReais&amp;Graficos'!MaxASW,0)</f>
        <v>0</v>
      </c>
      <c r="CJ142" s="27">
        <f t="shared" si="262"/>
        <v>40.66537161807817</v>
      </c>
      <c r="CK142" s="27">
        <f>poolFractn*Month!CI142</f>
        <v>0</v>
      </c>
      <c r="CQ142" s="25">
        <f>SIN(PI()*'DadosReais&amp;Graficos'!Lat/180)</f>
        <v>0.6293203910498374</v>
      </c>
      <c r="CR142" s="25">
        <f>COS(PI()*'DadosReais&amp;Graficos'!Lat/180)</f>
        <v>0.7771459614569709</v>
      </c>
      <c r="CS142" s="25">
        <f t="shared" si="230"/>
        <v>1992</v>
      </c>
      <c r="CT142" s="29">
        <f t="shared" si="265"/>
        <v>33604</v>
      </c>
      <c r="CU142" s="30">
        <f t="shared" si="263"/>
        <v>9</v>
      </c>
      <c r="CV142" s="27">
        <f t="shared" si="248"/>
        <v>258</v>
      </c>
      <c r="CW142" s="25">
        <f t="shared" si="266"/>
        <v>0.031962948421114835</v>
      </c>
      <c r="CX142" s="25">
        <f t="shared" si="231"/>
        <v>-0.025896316893613495</v>
      </c>
      <c r="CY142" s="25">
        <f t="shared" si="267"/>
        <v>0.5082439752861831</v>
      </c>
      <c r="CZ142" s="25">
        <f t="shared" si="268"/>
        <v>43912.27946472623</v>
      </c>
    </row>
    <row r="143" spans="1:104" ht="12.75">
      <c r="A143" s="149">
        <f t="shared" si="249"/>
        <v>33875</v>
      </c>
      <c r="B143" s="60">
        <f t="shared" si="232"/>
        <v>17.5</v>
      </c>
      <c r="C143" s="78">
        <f t="shared" si="233"/>
        <v>17.50000000000003</v>
      </c>
      <c r="D143" s="171">
        <f t="shared" si="250"/>
        <v>160144.01064425753</v>
      </c>
      <c r="E143" s="30">
        <f t="shared" si="269"/>
        <v>1111</v>
      </c>
      <c r="F143" s="27">
        <f t="shared" si="251"/>
        <v>7.781747919973553</v>
      </c>
      <c r="G143" s="27">
        <f t="shared" si="252"/>
        <v>37.988460313294</v>
      </c>
      <c r="H143" s="27">
        <f t="shared" si="253"/>
        <v>208.800309894458</v>
      </c>
      <c r="I143" s="27">
        <f t="shared" si="254"/>
        <v>216.58205781443155</v>
      </c>
      <c r="J143" s="27">
        <f t="shared" si="207"/>
        <v>254.57051812772556</v>
      </c>
      <c r="K143" s="27">
        <f t="shared" si="208"/>
        <v>4.000000000000012</v>
      </c>
      <c r="L143" s="27">
        <f t="shared" si="209"/>
        <v>3.112699167989431</v>
      </c>
      <c r="M143" s="27">
        <f t="shared" si="210"/>
        <v>14.213299932162176</v>
      </c>
      <c r="O143" s="25">
        <f t="shared" si="180"/>
        <v>0.013</v>
      </c>
      <c r="P143" s="25">
        <f t="shared" si="211"/>
        <v>0.10116272295965618</v>
      </c>
      <c r="Q143" s="25">
        <f t="shared" si="212"/>
        <v>0.37988460313294</v>
      </c>
      <c r="S143" s="27">
        <f t="shared" si="264"/>
        <v>187.93907281229343</v>
      </c>
      <c r="T143" s="27">
        <f t="shared" si="181"/>
        <v>20.124859962410184</v>
      </c>
      <c r="U143" s="27">
        <f t="shared" si="213"/>
        <v>0.1513936020878938</v>
      </c>
      <c r="V143" s="27">
        <f t="shared" si="214"/>
        <v>0.45</v>
      </c>
      <c r="W143" s="27">
        <f t="shared" si="234"/>
        <v>393.75395302770556</v>
      </c>
      <c r="X143" s="27">
        <f t="shared" si="235"/>
        <v>22.500225887297425</v>
      </c>
      <c r="Y143" s="27">
        <f t="shared" si="236"/>
        <v>35.34025463562315</v>
      </c>
      <c r="AA143" s="24">
        <f t="shared" si="237"/>
        <v>0.969435774111417</v>
      </c>
      <c r="AB143" s="23">
        <f t="shared" si="215"/>
        <v>0.7651653167254346</v>
      </c>
      <c r="AC143" s="23">
        <f>IF('DadosReais&amp;Graficos'!soilClass&gt;0,0.8-0.1*'DadosReais&amp;Graficos'!soilClass,IF('DadosReais&amp;Graficos'!soilClass&lt;0,SWconst0,999))</f>
        <v>0.6000000000000001</v>
      </c>
      <c r="AD143" s="23">
        <f>IF('DadosReais&amp;Graficos'!soilClass&gt;0,11-2*'DadosReais&amp;Graficos'!soilClass,SWpower0)</f>
        <v>7</v>
      </c>
      <c r="AE143" s="24">
        <f>1/(1+((1-CD143/'DadosReais&amp;Graficos'!MaxASW)/AC143)^AD143)</f>
        <v>0.12082892485353125</v>
      </c>
      <c r="AF143" s="24">
        <f t="shared" si="216"/>
        <v>0.6</v>
      </c>
      <c r="AG143" s="27">
        <f t="shared" si="186"/>
        <v>1</v>
      </c>
      <c r="AH143" s="27">
        <f t="shared" si="217"/>
        <v>1</v>
      </c>
      <c r="AI143" s="27">
        <f t="shared" si="218"/>
        <v>0.9819095553111012</v>
      </c>
      <c r="AJ143" s="24">
        <f t="shared" si="219"/>
        <v>0.11864307587164934</v>
      </c>
      <c r="AM143" s="27">
        <f t="shared" si="255"/>
        <v>391.4155912399292</v>
      </c>
      <c r="AN143" s="27">
        <f t="shared" si="220"/>
        <v>1</v>
      </c>
      <c r="AO143" s="27">
        <f t="shared" si="221"/>
        <v>0.7890954429284488</v>
      </c>
      <c r="AP143" s="27">
        <f t="shared" si="222"/>
        <v>308.8642593385726</v>
      </c>
      <c r="AQ143" s="27">
        <f t="shared" si="223"/>
        <v>0.006325926315532558</v>
      </c>
      <c r="AR143" s="27">
        <f t="shared" si="187"/>
        <v>0.3491911326173972</v>
      </c>
      <c r="AS143" s="27">
        <f t="shared" si="256"/>
        <v>1</v>
      </c>
      <c r="AT143" s="25">
        <f t="shared" si="257"/>
        <v>1.0785266054346967</v>
      </c>
      <c r="AU143" s="25">
        <f t="shared" si="188"/>
        <v>0.5069075045543074</v>
      </c>
      <c r="AW143" s="25">
        <f t="shared" si="189"/>
        <v>0.6</v>
      </c>
      <c r="AX143" s="25">
        <f t="shared" si="224"/>
        <v>0.08970759949386406</v>
      </c>
      <c r="AY143" s="25">
        <f t="shared" si="238"/>
        <v>0.4287795803953215</v>
      </c>
      <c r="AZ143" s="25">
        <f t="shared" si="225"/>
        <v>0.5241960502707267</v>
      </c>
      <c r="BA143" s="25">
        <f t="shared" si="226"/>
        <v>0.04702436933395182</v>
      </c>
      <c r="BB143" s="25">
        <f t="shared" si="239"/>
        <v>0.02383700571231362</v>
      </c>
      <c r="BC143" s="25">
        <f t="shared" si="240"/>
        <v>0.21735158710203548</v>
      </c>
      <c r="BD143" s="25">
        <f t="shared" si="241"/>
        <v>0.2657189117399584</v>
      </c>
      <c r="BG143" s="76">
        <f t="shared" si="258"/>
        <v>33878</v>
      </c>
      <c r="BH143" s="30">
        <f t="shared" si="242"/>
        <v>31</v>
      </c>
      <c r="BI143" s="27">
        <f>'PSP-1 Metdata'!D144</f>
        <v>14</v>
      </c>
      <c r="BJ143" s="28">
        <f>'PSP-1 Metdata'!E144</f>
        <v>19.100000381469727</v>
      </c>
      <c r="BK143" s="28">
        <f>'PSP-1 Metdata'!F144</f>
        <v>8.899999618530273</v>
      </c>
      <c r="BL143" s="28">
        <f>'PSP-1 Metdata'!G144</f>
        <v>66.47999877929688</v>
      </c>
      <c r="BM143" s="28">
        <f>'PSP-1 Metdata'!I144</f>
        <v>12.626309394836426</v>
      </c>
      <c r="BN143" s="28">
        <f>'PSP-1 Metdata'!J144</f>
        <v>12</v>
      </c>
      <c r="BO143" s="28">
        <f>'PSP-1 Metdata'!K144</f>
        <v>0</v>
      </c>
      <c r="BP143" s="25">
        <f>'PSP-1 Metdata'!L144</f>
        <v>22.109025822978992</v>
      </c>
      <c r="BQ143" s="25">
        <f>'PSP-1 Metdata'!M144</f>
        <v>11.402491094690165</v>
      </c>
      <c r="BR143" s="25">
        <f>'PSP-1 Metdata'!N144</f>
        <v>5.353267364144414</v>
      </c>
      <c r="BT143" s="25">
        <f t="shared" si="259"/>
        <v>39224.4387806368</v>
      </c>
      <c r="BU143" s="25">
        <f t="shared" si="243"/>
        <v>167.51923621799625</v>
      </c>
      <c r="BV143" s="25">
        <f t="shared" si="196"/>
        <v>0.2</v>
      </c>
      <c r="BW143" s="25">
        <f t="shared" si="244"/>
        <v>1965.8739502139165</v>
      </c>
      <c r="BX143" s="25">
        <f t="shared" si="245"/>
        <v>0.0022180192405608997</v>
      </c>
      <c r="BY143" s="25">
        <f t="shared" si="227"/>
        <v>93.37054331297117</v>
      </c>
      <c r="BZ143" s="25">
        <f t="shared" si="228"/>
        <v>25.00163528093349</v>
      </c>
      <c r="CA143" s="27">
        <f t="shared" si="229"/>
        <v>0.39864841971251413</v>
      </c>
      <c r="CB143" s="139">
        <f t="shared" si="260"/>
        <v>12.358101011087939</v>
      </c>
      <c r="CD143" s="27">
        <f>IF(CJ142&lt;'DadosReais&amp;Graficos'!MinASW,'DadosReais&amp;Graficos'!MinASW,IF(CJ142&gt;'DadosReais&amp;Graficos'!MaxASW,'DadosReais&amp;Graficos'!MaxASW,CJ142))</f>
        <v>40.66537161807817</v>
      </c>
      <c r="CE143" s="25">
        <f t="shared" si="246"/>
        <v>9.971999816894531</v>
      </c>
      <c r="CG143" s="27">
        <f t="shared" si="247"/>
        <v>107.14537039737505</v>
      </c>
      <c r="CH143" s="27">
        <f t="shared" si="261"/>
        <v>22.33010082798247</v>
      </c>
      <c r="CI143" s="27">
        <f>MAX(CG143-CH143-'DadosReais&amp;Graficos'!MaxASW,0)</f>
        <v>0</v>
      </c>
      <c r="CJ143" s="27">
        <f t="shared" si="262"/>
        <v>84.81526956939257</v>
      </c>
      <c r="CK143" s="27">
        <f>poolFractn*Month!CI143</f>
        <v>0</v>
      </c>
      <c r="CQ143" s="25">
        <f>SIN(PI()*'DadosReais&amp;Graficos'!Lat/180)</f>
        <v>0.6293203910498374</v>
      </c>
      <c r="CR143" s="25">
        <f>COS(PI()*'DadosReais&amp;Graficos'!Lat/180)</f>
        <v>0.7771459614569709</v>
      </c>
      <c r="CS143" s="25">
        <f t="shared" si="230"/>
        <v>1992</v>
      </c>
      <c r="CT143" s="29">
        <f t="shared" si="265"/>
        <v>33604</v>
      </c>
      <c r="CU143" s="30">
        <f t="shared" si="263"/>
        <v>10</v>
      </c>
      <c r="CV143" s="27">
        <f t="shared" si="248"/>
        <v>289</v>
      </c>
      <c r="CW143" s="25">
        <f t="shared" si="266"/>
        <v>-0.1751405350728837</v>
      </c>
      <c r="CX143" s="25">
        <f t="shared" si="231"/>
        <v>0.14405256542254885</v>
      </c>
      <c r="CY143" s="25">
        <f t="shared" si="267"/>
        <v>0.4539865599610741</v>
      </c>
      <c r="CZ143" s="25">
        <f t="shared" si="268"/>
        <v>39224.4387806368</v>
      </c>
    </row>
    <row r="144" spans="1:104" ht="12.75">
      <c r="A144" s="149">
        <f t="shared" si="249"/>
        <v>33905</v>
      </c>
      <c r="B144" s="60">
        <f t="shared" si="232"/>
        <v>17.58</v>
      </c>
      <c r="C144" s="78">
        <f t="shared" si="233"/>
        <v>17.58333333333336</v>
      </c>
      <c r="D144" s="171">
        <f t="shared" si="250"/>
        <v>160118.79851274707</v>
      </c>
      <c r="E144" s="30">
        <f t="shared" si="269"/>
        <v>1111</v>
      </c>
      <c r="F144" s="27">
        <f t="shared" si="251"/>
        <v>7.70442220272621</v>
      </c>
      <c r="G144" s="27">
        <f t="shared" si="252"/>
        <v>37.82592729726309</v>
      </c>
      <c r="H144" s="27">
        <f t="shared" si="253"/>
        <v>209.06602880619795</v>
      </c>
      <c r="I144" s="27">
        <f t="shared" si="254"/>
        <v>216.77045100892417</v>
      </c>
      <c r="J144" s="27">
        <f t="shared" si="207"/>
        <v>254.59637830618726</v>
      </c>
      <c r="K144" s="27">
        <f t="shared" si="208"/>
        <v>4.000000000000009</v>
      </c>
      <c r="L144" s="27">
        <f t="shared" si="209"/>
        <v>3.081768881090491</v>
      </c>
      <c r="M144" s="27">
        <f t="shared" si="210"/>
        <v>14.314462655121833</v>
      </c>
      <c r="O144" s="25">
        <f t="shared" si="180"/>
        <v>0.013</v>
      </c>
      <c r="P144" s="25">
        <f t="shared" si="211"/>
        <v>0.10015748863544073</v>
      </c>
      <c r="Q144" s="25">
        <f t="shared" si="212"/>
        <v>0.37825927297263096</v>
      </c>
      <c r="S144" s="27">
        <f t="shared" si="264"/>
        <v>188.17824374995314</v>
      </c>
      <c r="T144" s="27">
        <f t="shared" si="181"/>
        <v>20.134319941184142</v>
      </c>
      <c r="U144" s="27">
        <f t="shared" si="213"/>
        <v>0.15135392894164718</v>
      </c>
      <c r="V144" s="27">
        <f t="shared" si="214"/>
        <v>0.45</v>
      </c>
      <c r="W144" s="27">
        <f t="shared" si="234"/>
        <v>394.2734754181162</v>
      </c>
      <c r="X144" s="27">
        <f t="shared" si="235"/>
        <v>22.423136042736434</v>
      </c>
      <c r="Y144" s="27">
        <f t="shared" si="236"/>
        <v>35.3734868305145</v>
      </c>
      <c r="AA144" s="24">
        <f t="shared" si="237"/>
        <v>0.9553357610411103</v>
      </c>
      <c r="AB144" s="23">
        <f t="shared" si="215"/>
        <v>0.7617255194093432</v>
      </c>
      <c r="AC144" s="23">
        <f>IF('DadosReais&amp;Graficos'!soilClass&gt;0,0.8-0.1*'DadosReais&amp;Graficos'!soilClass,IF('DadosReais&amp;Graficos'!soilClass&lt;0,SWconst0,999))</f>
        <v>0.6000000000000001</v>
      </c>
      <c r="AD144" s="23">
        <f>IF('DadosReais&amp;Graficos'!soilClass&gt;0,11-2*'DadosReais&amp;Graficos'!soilClass,SWpower0)</f>
        <v>7</v>
      </c>
      <c r="AE144" s="24">
        <f>1/(1+((1-CD144/'DadosReais&amp;Graficos'!MaxASW)/AC144)^AD144)</f>
        <v>0.5711836043407443</v>
      </c>
      <c r="AF144" s="24">
        <f t="shared" si="216"/>
        <v>0.6</v>
      </c>
      <c r="AG144" s="27">
        <f t="shared" si="186"/>
        <v>1</v>
      </c>
      <c r="AH144" s="27">
        <f t="shared" si="217"/>
        <v>1</v>
      </c>
      <c r="AI144" s="27">
        <f t="shared" si="218"/>
        <v>0.9815689027983452</v>
      </c>
      <c r="AJ144" s="24">
        <f t="shared" si="219"/>
        <v>0.5606560638091486</v>
      </c>
      <c r="AM144" s="27">
        <f t="shared" si="255"/>
        <v>260.4192638397217</v>
      </c>
      <c r="AN144" s="27">
        <f t="shared" si="220"/>
        <v>1</v>
      </c>
      <c r="AO144" s="27">
        <f t="shared" si="221"/>
        <v>0.7858084220877638</v>
      </c>
      <c r="AP144" s="27">
        <f t="shared" si="222"/>
        <v>204.63965079914874</v>
      </c>
      <c r="AQ144" s="27">
        <f t="shared" si="223"/>
        <v>0.029458813307078443</v>
      </c>
      <c r="AR144" s="27">
        <f t="shared" si="187"/>
        <v>1.6261264945507299</v>
      </c>
      <c r="AS144" s="27">
        <f t="shared" si="256"/>
        <v>1</v>
      </c>
      <c r="AT144" s="25">
        <f t="shared" si="257"/>
        <v>3.327699580001052</v>
      </c>
      <c r="AU144" s="25">
        <f t="shared" si="188"/>
        <v>1.5640188026004944</v>
      </c>
      <c r="AW144" s="25">
        <f t="shared" si="189"/>
        <v>0.6</v>
      </c>
      <c r="AX144" s="25">
        <f t="shared" si="224"/>
        <v>0.0896855584526179</v>
      </c>
      <c r="AY144" s="25">
        <f t="shared" si="238"/>
        <v>0.2801248365055018</v>
      </c>
      <c r="AZ144" s="25">
        <f t="shared" si="225"/>
        <v>0.6606265063443988</v>
      </c>
      <c r="BA144" s="25">
        <f t="shared" si="226"/>
        <v>0.059248657150099415</v>
      </c>
      <c r="BB144" s="25">
        <f t="shared" si="239"/>
        <v>0.0926660138115857</v>
      </c>
      <c r="BC144" s="25">
        <f t="shared" si="240"/>
        <v>0.4381205113699942</v>
      </c>
      <c r="BD144" s="25">
        <f t="shared" si="241"/>
        <v>1.0332322774189144</v>
      </c>
      <c r="BG144" s="76">
        <f t="shared" si="258"/>
        <v>33909</v>
      </c>
      <c r="BH144" s="30">
        <f t="shared" si="242"/>
        <v>30</v>
      </c>
      <c r="BI144" s="27">
        <f>'PSP-1 Metdata'!D145</f>
        <v>13.599999904632568</v>
      </c>
      <c r="BJ144" s="28">
        <f>'PSP-1 Metdata'!E145</f>
        <v>18.899999618530273</v>
      </c>
      <c r="BK144" s="28">
        <f>'PSP-1 Metdata'!F145</f>
        <v>8.300000190734863</v>
      </c>
      <c r="BL144" s="28">
        <f>'PSP-1 Metdata'!G145</f>
        <v>22.880000305175784</v>
      </c>
      <c r="BM144" s="28">
        <f>'PSP-1 Metdata'!I145</f>
        <v>8.680642127990723</v>
      </c>
      <c r="BN144" s="28">
        <f>'PSP-1 Metdata'!J145</f>
        <v>6</v>
      </c>
      <c r="BO144" s="28">
        <f>'PSP-1 Metdata'!K145</f>
        <v>0</v>
      </c>
      <c r="BP144" s="25">
        <f>'PSP-1 Metdata'!L145</f>
        <v>21.834892027836773</v>
      </c>
      <c r="BQ144" s="25">
        <f>'PSP-1 Metdata'!M145</f>
        <v>10.948132070402389</v>
      </c>
      <c r="BR144" s="25">
        <f>'PSP-1 Metdata'!N145</f>
        <v>5.443379978717192</v>
      </c>
      <c r="BT144" s="25">
        <f t="shared" si="259"/>
        <v>35312.835538885876</v>
      </c>
      <c r="BU144" s="25">
        <f t="shared" si="243"/>
        <v>106.65692648061076</v>
      </c>
      <c r="BV144" s="25">
        <f t="shared" si="196"/>
        <v>0.2</v>
      </c>
      <c r="BW144" s="25">
        <f t="shared" si="244"/>
        <v>1998.96589752834</v>
      </c>
      <c r="BX144" s="25">
        <f t="shared" si="245"/>
        <v>0.010377251714364677</v>
      </c>
      <c r="BY144" s="25">
        <f t="shared" si="227"/>
        <v>22.472925578469937</v>
      </c>
      <c r="BZ144" s="25">
        <f t="shared" si="228"/>
        <v>99.3912042286823</v>
      </c>
      <c r="CA144" s="27">
        <f t="shared" si="229"/>
        <v>1.426741971113527</v>
      </c>
      <c r="CB144" s="139">
        <f t="shared" si="260"/>
        <v>42.80225913340581</v>
      </c>
      <c r="CD144" s="27">
        <f>IF(CJ143&lt;'DadosReais&amp;Graficos'!MinASW,'DadosReais&amp;Graficos'!MinASW,IF(CJ143&gt;'DadosReais&amp;Graficos'!MaxASW,'DadosReais&amp;Graficos'!MaxASW,CJ143))</f>
        <v>84.81526956939257</v>
      </c>
      <c r="CE144" s="25">
        <f t="shared" si="246"/>
        <v>3.4320000457763675</v>
      </c>
      <c r="CG144" s="27">
        <f t="shared" si="247"/>
        <v>107.69526987456835</v>
      </c>
      <c r="CH144" s="27">
        <f t="shared" si="261"/>
        <v>46.23425917918218</v>
      </c>
      <c r="CI144" s="27">
        <f>MAX(CG144-CH144-'DadosReais&amp;Graficos'!MaxASW,0)</f>
        <v>0</v>
      </c>
      <c r="CJ144" s="27">
        <f t="shared" si="262"/>
        <v>61.46101069538617</v>
      </c>
      <c r="CK144" s="27">
        <f>poolFractn*Month!CI144</f>
        <v>0</v>
      </c>
      <c r="CQ144" s="25">
        <f>SIN(PI()*'DadosReais&amp;Graficos'!Lat/180)</f>
        <v>0.6293203910498374</v>
      </c>
      <c r="CR144" s="25">
        <f>COS(PI()*'DadosReais&amp;Graficos'!Lat/180)</f>
        <v>0.7771459614569709</v>
      </c>
      <c r="CS144" s="25">
        <f t="shared" si="230"/>
        <v>1992</v>
      </c>
      <c r="CT144" s="29">
        <f t="shared" si="265"/>
        <v>33604</v>
      </c>
      <c r="CU144" s="30">
        <f t="shared" si="263"/>
        <v>11</v>
      </c>
      <c r="CV144" s="27">
        <f t="shared" si="248"/>
        <v>319</v>
      </c>
      <c r="CW144" s="25">
        <f t="shared" si="266"/>
        <v>-0.3297749470179898</v>
      </c>
      <c r="CX144" s="25">
        <f t="shared" si="231"/>
        <v>0.2828703751751745</v>
      </c>
      <c r="CY144" s="25">
        <f t="shared" si="267"/>
        <v>0.40871337429266064</v>
      </c>
      <c r="CZ144" s="25">
        <f t="shared" si="268"/>
        <v>35312.835538885876</v>
      </c>
    </row>
    <row r="145" spans="1:104" ht="12.75">
      <c r="A145" s="149">
        <f t="shared" si="249"/>
        <v>33936</v>
      </c>
      <c r="B145" s="60">
        <f t="shared" si="232"/>
        <v>17.67</v>
      </c>
      <c r="C145" s="78">
        <f t="shared" si="233"/>
        <v>17.666666666666693</v>
      </c>
      <c r="D145" s="171">
        <f t="shared" si="250"/>
        <v>159066.2628071436</v>
      </c>
      <c r="E145" s="30">
        <f t="shared" si="269"/>
        <v>1111</v>
      </c>
      <c r="F145" s="27">
        <f t="shared" si="251"/>
        <v>7.696930727902355</v>
      </c>
      <c r="G145" s="27">
        <f t="shared" si="252"/>
        <v>37.88578853566046</v>
      </c>
      <c r="H145" s="27">
        <f t="shared" si="253"/>
        <v>210.09926108361685</v>
      </c>
      <c r="I145" s="27">
        <f t="shared" si="254"/>
        <v>217.7961918115192</v>
      </c>
      <c r="J145" s="27">
        <f t="shared" si="207"/>
        <v>255.68198034717966</v>
      </c>
      <c r="K145" s="27">
        <f t="shared" si="208"/>
        <v>4.000000000000006</v>
      </c>
      <c r="L145" s="27">
        <f t="shared" si="209"/>
        <v>3.078772291160947</v>
      </c>
      <c r="M145" s="27">
        <f t="shared" si="210"/>
        <v>14.414620143757274</v>
      </c>
      <c r="O145" s="25">
        <f t="shared" si="180"/>
        <v>0.013</v>
      </c>
      <c r="P145" s="25">
        <f t="shared" si="211"/>
        <v>0.10006009946273062</v>
      </c>
      <c r="Q145" s="25">
        <f t="shared" si="212"/>
        <v>0.3788578853566046</v>
      </c>
      <c r="S145" s="27">
        <f t="shared" si="264"/>
        <v>189.10824579983515</v>
      </c>
      <c r="T145" s="27">
        <f t="shared" si="181"/>
        <v>20.17103263451508</v>
      </c>
      <c r="U145" s="27">
        <f t="shared" si="213"/>
        <v>0.15131538521286253</v>
      </c>
      <c r="V145" s="27">
        <f t="shared" si="214"/>
        <v>0.45</v>
      </c>
      <c r="W145" s="27">
        <f t="shared" si="234"/>
        <v>396.24002324402574</v>
      </c>
      <c r="X145" s="27">
        <f t="shared" si="235"/>
        <v>22.428680560982556</v>
      </c>
      <c r="Y145" s="27">
        <f t="shared" si="236"/>
        <v>35.50260367729413</v>
      </c>
      <c r="AA145" s="24">
        <f t="shared" si="237"/>
        <v>0.8225556198798263</v>
      </c>
      <c r="AB145" s="23">
        <f t="shared" si="215"/>
        <v>0.8051606002906859</v>
      </c>
      <c r="AC145" s="23">
        <f>IF('DadosReais&amp;Graficos'!soilClass&gt;0,0.8-0.1*'DadosReais&amp;Graficos'!soilClass,IF('DadosReais&amp;Graficos'!soilClass&lt;0,SWconst0,999))</f>
        <v>0.6000000000000001</v>
      </c>
      <c r="AD145" s="23">
        <f>IF('DadosReais&amp;Graficos'!soilClass&gt;0,11-2*'DadosReais&amp;Graficos'!soilClass,SWpower0)</f>
        <v>7</v>
      </c>
      <c r="AE145" s="24">
        <f>1/(1+((1-CD145/'DadosReais&amp;Graficos'!MaxASW)/AC145)^AD145)</f>
        <v>0.2678378234407276</v>
      </c>
      <c r="AF145" s="24">
        <f t="shared" si="216"/>
        <v>0.6</v>
      </c>
      <c r="AG145" s="27">
        <f t="shared" si="186"/>
        <v>1</v>
      </c>
      <c r="AH145" s="27">
        <f t="shared" si="217"/>
        <v>0.8666666666666667</v>
      </c>
      <c r="AI145" s="27">
        <f t="shared" si="218"/>
        <v>0.9812236136790403</v>
      </c>
      <c r="AJ145" s="24">
        <f t="shared" si="219"/>
        <v>0.2628087969964395</v>
      </c>
      <c r="AM145" s="27">
        <f t="shared" si="255"/>
        <v>208.66475296020508</v>
      </c>
      <c r="AN145" s="27">
        <f t="shared" si="220"/>
        <v>1</v>
      </c>
      <c r="AO145" s="27">
        <f t="shared" si="221"/>
        <v>0.7854872593869338</v>
      </c>
      <c r="AP145" s="27">
        <f t="shared" si="222"/>
        <v>163.90350493336305</v>
      </c>
      <c r="AQ145" s="27">
        <f t="shared" si="223"/>
        <v>0.010304334656009571</v>
      </c>
      <c r="AR145" s="27">
        <f t="shared" si="187"/>
        <v>0.5687992730117283</v>
      </c>
      <c r="AS145" s="27">
        <f t="shared" si="256"/>
        <v>1</v>
      </c>
      <c r="AT145" s="25">
        <f t="shared" si="257"/>
        <v>0.9322819445017113</v>
      </c>
      <c r="AU145" s="25">
        <f t="shared" si="188"/>
        <v>0.4381725139158043</v>
      </c>
      <c r="AW145" s="25">
        <f t="shared" si="189"/>
        <v>0.6</v>
      </c>
      <c r="AX145" s="25">
        <f t="shared" si="224"/>
        <v>0.08960016976922894</v>
      </c>
      <c r="AY145" s="25">
        <f t="shared" si="238"/>
        <v>0.3655151605285455</v>
      </c>
      <c r="AZ145" s="25">
        <f t="shared" si="225"/>
        <v>0.5823097839695038</v>
      </c>
      <c r="BA145" s="25">
        <f t="shared" si="226"/>
        <v>0.05217505550195067</v>
      </c>
      <c r="BB145" s="25">
        <f t="shared" si="239"/>
        <v>0.022861675232986343</v>
      </c>
      <c r="BC145" s="25">
        <f t="shared" si="240"/>
        <v>0.16015869676313155</v>
      </c>
      <c r="BD145" s="25">
        <f t="shared" si="241"/>
        <v>0.25515214191968644</v>
      </c>
      <c r="BG145" s="76">
        <f t="shared" si="258"/>
        <v>33939</v>
      </c>
      <c r="BH145" s="30">
        <f t="shared" si="242"/>
        <v>31</v>
      </c>
      <c r="BI145" s="27">
        <f>'PSP-1 Metdata'!D146</f>
        <v>11.40000033378601</v>
      </c>
      <c r="BJ145" s="28">
        <f>'PSP-1 Metdata'!E146</f>
        <v>16.200000762939453</v>
      </c>
      <c r="BK145" s="28">
        <f>'PSP-1 Metdata'!F146</f>
        <v>6.599999904632568</v>
      </c>
      <c r="BL145" s="28">
        <f>'PSP-1 Metdata'!G146</f>
        <v>64.47999877929688</v>
      </c>
      <c r="BM145" s="28">
        <f>'PSP-1 Metdata'!I146</f>
        <v>6.731121063232422</v>
      </c>
      <c r="BN145" s="28">
        <f>'PSP-1 Metdata'!J146</f>
        <v>12</v>
      </c>
      <c r="BO145" s="28">
        <f>'PSP-1 Metdata'!K146</f>
        <v>4</v>
      </c>
      <c r="BP145" s="25">
        <f>'PSP-1 Metdata'!L146</f>
        <v>18.414672339690902</v>
      </c>
      <c r="BQ145" s="25">
        <f>'PSP-1 Metdata'!M146</f>
        <v>9.746131619888772</v>
      </c>
      <c r="BR145" s="25">
        <f>'PSP-1 Metdata'!N146</f>
        <v>4.3342703599010655</v>
      </c>
      <c r="BT145" s="25">
        <f t="shared" si="259"/>
        <v>33294.53956575766</v>
      </c>
      <c r="BU145" s="25">
        <f t="shared" si="243"/>
        <v>71.73513497462892</v>
      </c>
      <c r="BV145" s="25">
        <f t="shared" si="196"/>
        <v>0.2</v>
      </c>
      <c r="BW145" s="25">
        <f t="shared" si="244"/>
        <v>1591.6689031420365</v>
      </c>
      <c r="BX145" s="25">
        <f t="shared" si="245"/>
        <v>0.0048596302826785604</v>
      </c>
      <c r="BY145" s="25">
        <f t="shared" si="227"/>
        <v>44.35539421031075</v>
      </c>
      <c r="BZ145" s="25">
        <f t="shared" si="228"/>
        <v>39.442467623916166</v>
      </c>
      <c r="CA145" s="27">
        <f t="shared" si="229"/>
        <v>0.5338287800307285</v>
      </c>
      <c r="CB145" s="139">
        <f t="shared" si="260"/>
        <v>16.548692180952585</v>
      </c>
      <c r="CD145" s="27">
        <f>IF(CJ144&lt;'DadosReais&amp;Graficos'!MinASW,'DadosReais&amp;Graficos'!MinASW,IF(CJ144&gt;'DadosReais&amp;Graficos'!MaxASW,'DadosReais&amp;Graficos'!MaxASW,CJ144))</f>
        <v>61.46101069538617</v>
      </c>
      <c r="CE145" s="25">
        <f t="shared" si="246"/>
        <v>9.671999816894532</v>
      </c>
      <c r="CG145" s="27">
        <f t="shared" si="247"/>
        <v>125.94100947468306</v>
      </c>
      <c r="CH145" s="27">
        <f t="shared" si="261"/>
        <v>26.22069199784712</v>
      </c>
      <c r="CI145" s="27">
        <f>MAX(CG145-CH145-'DadosReais&amp;Graficos'!MaxASW,0)</f>
        <v>0</v>
      </c>
      <c r="CJ145" s="27">
        <f t="shared" si="262"/>
        <v>99.72031747683593</v>
      </c>
      <c r="CK145" s="27">
        <f>poolFractn*Month!CI145</f>
        <v>0</v>
      </c>
      <c r="CQ145" s="25">
        <f>SIN(PI()*'DadosReais&amp;Graficos'!Lat/180)</f>
        <v>0.6293203910498374</v>
      </c>
      <c r="CR145" s="25">
        <f>COS(PI()*'DadosReais&amp;Graficos'!Lat/180)</f>
        <v>0.7771459614569709</v>
      </c>
      <c r="CS145" s="25">
        <f t="shared" si="230"/>
        <v>1992</v>
      </c>
      <c r="CT145" s="29">
        <f t="shared" si="265"/>
        <v>33604</v>
      </c>
      <c r="CU145" s="30">
        <f t="shared" si="263"/>
        <v>12</v>
      </c>
      <c r="CV145" s="27">
        <f t="shared" si="248"/>
        <v>350</v>
      </c>
      <c r="CW145" s="25">
        <f t="shared" si="266"/>
        <v>-0.39906495399591085</v>
      </c>
      <c r="CX145" s="25">
        <f t="shared" si="231"/>
        <v>0.352435862283474</v>
      </c>
      <c r="CY145" s="25">
        <f t="shared" si="267"/>
        <v>0.3853534671962692</v>
      </c>
      <c r="CZ145" s="25">
        <f t="shared" si="268"/>
        <v>33294.53956575766</v>
      </c>
    </row>
    <row r="146" spans="1:104" ht="12.75">
      <c r="A146" s="149">
        <f t="shared" si="249"/>
        <v>33966</v>
      </c>
      <c r="B146" s="60">
        <f t="shared" si="232"/>
        <v>17.75</v>
      </c>
      <c r="C146" s="78">
        <f t="shared" si="233"/>
        <v>17.750000000000025</v>
      </c>
      <c r="D146" s="171">
        <f t="shared" si="250"/>
        <v>159105.56142217238</v>
      </c>
      <c r="E146" s="30">
        <f t="shared" si="269"/>
        <v>1111</v>
      </c>
      <c r="F146" s="27">
        <f t="shared" si="251"/>
        <v>7.6197323036726115</v>
      </c>
      <c r="G146" s="27">
        <f t="shared" si="252"/>
        <v>37.66708934706699</v>
      </c>
      <c r="H146" s="27">
        <f t="shared" si="253"/>
        <v>210.35441322553655</v>
      </c>
      <c r="I146" s="27">
        <f t="shared" si="254"/>
        <v>217.97414552920915</v>
      </c>
      <c r="J146" s="27">
        <f t="shared" si="207"/>
        <v>255.64123487627614</v>
      </c>
      <c r="K146" s="27">
        <f t="shared" si="208"/>
        <v>4.000000000000004</v>
      </c>
      <c r="L146" s="27">
        <f t="shared" si="209"/>
        <v>3.047892921469048</v>
      </c>
      <c r="M146" s="27">
        <f t="shared" si="210"/>
        <v>14.514680243220004</v>
      </c>
      <c r="O146" s="25">
        <f t="shared" si="180"/>
        <v>0.013</v>
      </c>
      <c r="P146" s="25">
        <f t="shared" si="211"/>
        <v>0.09905651994774395</v>
      </c>
      <c r="Q146" s="25">
        <f t="shared" si="212"/>
        <v>0.3766708934706699</v>
      </c>
      <c r="S146" s="27">
        <f t="shared" si="264"/>
        <v>189.33790569355224</v>
      </c>
      <c r="T146" s="27">
        <f t="shared" si="181"/>
        <v>20.18008113781903</v>
      </c>
      <c r="U146" s="27">
        <f t="shared" si="213"/>
        <v>0.15127793874921708</v>
      </c>
      <c r="V146" s="27">
        <f t="shared" si="214"/>
        <v>0.45</v>
      </c>
      <c r="W146" s="27">
        <f t="shared" si="234"/>
        <v>396.73873596883624</v>
      </c>
      <c r="X146" s="27">
        <f t="shared" si="235"/>
        <v>22.351478082751306</v>
      </c>
      <c r="Y146" s="27">
        <f t="shared" si="236"/>
        <v>35.53446297632724</v>
      </c>
      <c r="AA146" s="24">
        <f t="shared" si="237"/>
        <v>0.5255597006152958</v>
      </c>
      <c r="AB146" s="23">
        <f t="shared" si="215"/>
        <v>0.7565539720022847</v>
      </c>
      <c r="AC146" s="23">
        <f>IF('DadosReais&amp;Graficos'!soilClass&gt;0,0.8-0.1*'DadosReais&amp;Graficos'!soilClass,IF('DadosReais&amp;Graficos'!soilClass&lt;0,SWconst0,999))</f>
        <v>0.6000000000000001</v>
      </c>
      <c r="AD146" s="23">
        <f>IF('DadosReais&amp;Graficos'!soilClass&gt;0,11-2*'DadosReais&amp;Graficos'!soilClass,SWpower0)</f>
        <v>7</v>
      </c>
      <c r="AE146" s="24">
        <f>1/(1+((1-CD146/'DadosReais&amp;Graficos'!MaxASW)/AC146)^AD146)</f>
        <v>0.7784575853434015</v>
      </c>
      <c r="AF146" s="24">
        <f t="shared" si="216"/>
        <v>0.6</v>
      </c>
      <c r="AG146" s="27">
        <f t="shared" si="186"/>
        <v>1</v>
      </c>
      <c r="AH146" s="27">
        <f t="shared" si="217"/>
        <v>0.5</v>
      </c>
      <c r="AI146" s="27">
        <f t="shared" si="218"/>
        <v>0.9808736517223821</v>
      </c>
      <c r="AJ146" s="24">
        <f t="shared" si="219"/>
        <v>0.7420838572429538</v>
      </c>
      <c r="AM146" s="27">
        <f t="shared" si="255"/>
        <v>246.3793215751648</v>
      </c>
      <c r="AN146" s="27">
        <f t="shared" si="220"/>
        <v>1</v>
      </c>
      <c r="AO146" s="27">
        <f t="shared" si="221"/>
        <v>0.7821495499902406</v>
      </c>
      <c r="AP146" s="27">
        <f t="shared" si="222"/>
        <v>192.7054754969159</v>
      </c>
      <c r="AQ146" s="27">
        <f t="shared" si="223"/>
        <v>0.010725257670711393</v>
      </c>
      <c r="AR146" s="27">
        <f t="shared" si="187"/>
        <v>0.5920342234232688</v>
      </c>
      <c r="AS146" s="27">
        <f t="shared" si="256"/>
        <v>1</v>
      </c>
      <c r="AT146" s="25">
        <f t="shared" si="257"/>
        <v>1.1408823653522837</v>
      </c>
      <c r="AU146" s="25">
        <f t="shared" si="188"/>
        <v>0.5362147117155733</v>
      </c>
      <c r="AW146" s="25">
        <f t="shared" si="189"/>
        <v>0.6</v>
      </c>
      <c r="AX146" s="25">
        <f t="shared" si="224"/>
        <v>0.08957916053972076</v>
      </c>
      <c r="AY146" s="25">
        <f t="shared" si="238"/>
        <v>0.24522817842725503</v>
      </c>
      <c r="AZ146" s="25">
        <f t="shared" si="225"/>
        <v>0.692718665065942</v>
      </c>
      <c r="BA146" s="25">
        <f t="shared" si="226"/>
        <v>0.06205315650680299</v>
      </c>
      <c r="BB146" s="25">
        <f t="shared" si="239"/>
        <v>0.03327381542733672</v>
      </c>
      <c r="BC146" s="25">
        <f t="shared" si="240"/>
        <v>0.13149495699990574</v>
      </c>
      <c r="BD146" s="25">
        <f t="shared" si="241"/>
        <v>0.3714459392883309</v>
      </c>
      <c r="BG146" s="76">
        <f t="shared" si="258"/>
        <v>33970</v>
      </c>
      <c r="BH146" s="30">
        <f t="shared" si="242"/>
        <v>31</v>
      </c>
      <c r="BI146" s="27">
        <f>'PSP-1 Metdata'!D147</f>
        <v>8.799999833106995</v>
      </c>
      <c r="BJ146" s="28">
        <f>'PSP-1 Metdata'!E147</f>
        <v>15.899999618530273</v>
      </c>
      <c r="BK146" s="28">
        <f>'PSP-1 Metdata'!F147</f>
        <v>1.7000000476837158</v>
      </c>
      <c r="BL146" s="28">
        <f>'PSP-1 Metdata'!G147</f>
        <v>36.879998779296876</v>
      </c>
      <c r="BM146" s="28">
        <f>'PSP-1 Metdata'!I147</f>
        <v>7.947720050811768</v>
      </c>
      <c r="BN146" s="28">
        <f>'PSP-1 Metdata'!J147</f>
        <v>4</v>
      </c>
      <c r="BO146" s="28">
        <f>'PSP-1 Metdata'!K147</f>
        <v>15</v>
      </c>
      <c r="BP146" s="25">
        <f>'PSP-1 Metdata'!L147</f>
        <v>18.06532479379342</v>
      </c>
      <c r="BQ146" s="25">
        <f>'PSP-1 Metdata'!M147</f>
        <v>6.906068635928697</v>
      </c>
      <c r="BR146" s="25">
        <f>'PSP-1 Metdata'!N147</f>
        <v>5.579628078932361</v>
      </c>
      <c r="BT146" s="25">
        <f t="shared" si="259"/>
        <v>34557.10261977032</v>
      </c>
      <c r="BU146" s="25">
        <f t="shared" si="243"/>
        <v>93.99042624053399</v>
      </c>
      <c r="BV146" s="25">
        <f t="shared" si="196"/>
        <v>0.2</v>
      </c>
      <c r="BW146" s="25">
        <f t="shared" si="244"/>
        <v>2049.0001238726363</v>
      </c>
      <c r="BX146" s="25">
        <f t="shared" si="245"/>
        <v>0.013584337150914394</v>
      </c>
      <c r="BY146" s="25">
        <f t="shared" si="227"/>
        <v>17.922838352590325</v>
      </c>
      <c r="BZ146" s="25">
        <f t="shared" si="228"/>
        <v>125.86059290524099</v>
      </c>
      <c r="CA146" s="27">
        <f t="shared" si="229"/>
        <v>1.7680396035819306</v>
      </c>
      <c r="CB146" s="139">
        <f t="shared" si="260"/>
        <v>54.809227711039846</v>
      </c>
      <c r="CD146" s="27">
        <f>IF(CJ145&lt;'DadosReais&amp;Graficos'!MinASW,'DadosReais&amp;Graficos'!MinASW,IF(CJ145&gt;'DadosReais&amp;Graficos'!MaxASW,'DadosReais&amp;Graficos'!MaxASW,CJ145))</f>
        <v>99.72031747683593</v>
      </c>
      <c r="CE146" s="25">
        <f t="shared" si="246"/>
        <v>5.5319998168945315</v>
      </c>
      <c r="CG146" s="27">
        <f t="shared" si="247"/>
        <v>136.6003162561328</v>
      </c>
      <c r="CH146" s="27">
        <f t="shared" si="261"/>
        <v>60.34122752793438</v>
      </c>
      <c r="CI146" s="27">
        <f>MAX(CG146-CH146-'DadosReais&amp;Graficos'!MaxASW,0)</f>
        <v>0</v>
      </c>
      <c r="CJ146" s="27">
        <f t="shared" si="262"/>
        <v>76.25908872819842</v>
      </c>
      <c r="CK146" s="27">
        <f>poolFractn*Month!CI146</f>
        <v>0</v>
      </c>
      <c r="CQ146" s="25">
        <f>SIN(PI()*'DadosReais&amp;Graficos'!Lat/180)</f>
        <v>0.6293203910498374</v>
      </c>
      <c r="CR146" s="25">
        <f>COS(PI()*'DadosReais&amp;Graficos'!Lat/180)</f>
        <v>0.7771459614569709</v>
      </c>
      <c r="CS146" s="25">
        <f t="shared" si="230"/>
        <v>1992</v>
      </c>
      <c r="CT146" s="29">
        <f t="shared" si="265"/>
        <v>33604</v>
      </c>
      <c r="CU146" s="30">
        <f t="shared" si="263"/>
        <v>1</v>
      </c>
      <c r="CV146" s="27">
        <f t="shared" si="248"/>
        <v>16</v>
      </c>
      <c r="CW146" s="25">
        <f t="shared" si="266"/>
        <v>-0.3566279806934116</v>
      </c>
      <c r="CX146" s="25">
        <f t="shared" si="231"/>
        <v>0.30911718809788097</v>
      </c>
      <c r="CY146" s="25">
        <f t="shared" si="267"/>
        <v>0.39996646550660087</v>
      </c>
      <c r="CZ146" s="25">
        <f t="shared" si="268"/>
        <v>34557.10261977032</v>
      </c>
    </row>
    <row r="147" spans="1:104" ht="12.75">
      <c r="A147" s="149">
        <f t="shared" si="249"/>
        <v>33997</v>
      </c>
      <c r="B147" s="60">
        <f t="shared" si="232"/>
        <v>17.83</v>
      </c>
      <c r="C147" s="78">
        <f t="shared" si="233"/>
        <v>17.833333333333357</v>
      </c>
      <c r="D147" s="171">
        <f t="shared" si="250"/>
        <v>159047.22774705174</v>
      </c>
      <c r="E147" s="30">
        <f t="shared" si="269"/>
        <v>1111</v>
      </c>
      <c r="F147" s="27">
        <f t="shared" si="251"/>
        <v>7.5539495991522045</v>
      </c>
      <c r="G147" s="27">
        <f t="shared" si="252"/>
        <v>37.42191341059623</v>
      </c>
      <c r="H147" s="27">
        <f t="shared" si="253"/>
        <v>210.72585916482487</v>
      </c>
      <c r="I147" s="27">
        <f t="shared" si="254"/>
        <v>218.2798087639771</v>
      </c>
      <c r="J147" s="27">
        <f t="shared" si="207"/>
        <v>255.70172217457332</v>
      </c>
      <c r="K147" s="27">
        <f t="shared" si="208"/>
        <v>4.0000000000000036</v>
      </c>
      <c r="L147" s="27">
        <f t="shared" si="209"/>
        <v>3.021579839660885</v>
      </c>
      <c r="M147" s="27">
        <f t="shared" si="210"/>
        <v>14.613736763167749</v>
      </c>
      <c r="O147" s="25">
        <f t="shared" si="180"/>
        <v>0.013</v>
      </c>
      <c r="P147" s="25">
        <f t="shared" si="211"/>
        <v>0.09820134478897866</v>
      </c>
      <c r="Q147" s="25">
        <f t="shared" si="212"/>
        <v>0.37421913410596236</v>
      </c>
      <c r="S147" s="27">
        <f t="shared" si="264"/>
        <v>189.67224047238963</v>
      </c>
      <c r="T147" s="27">
        <f t="shared" si="181"/>
        <v>20.193241426588422</v>
      </c>
      <c r="U147" s="27">
        <f t="shared" si="213"/>
        <v>0.15124155831370228</v>
      </c>
      <c r="V147" s="27">
        <f t="shared" si="214"/>
        <v>0.45</v>
      </c>
      <c r="W147" s="27">
        <f t="shared" si="234"/>
        <v>397.4563374394288</v>
      </c>
      <c r="X147" s="27">
        <f t="shared" si="235"/>
        <v>22.2872712582857</v>
      </c>
      <c r="Y147" s="27">
        <f t="shared" si="236"/>
        <v>35.58082515654225</v>
      </c>
      <c r="AA147" s="24">
        <f t="shared" si="237"/>
        <v>0.7278565233782428</v>
      </c>
      <c r="AB147" s="23">
        <f t="shared" si="215"/>
        <v>0.7427405522155739</v>
      </c>
      <c r="AC147" s="23">
        <f>IF('DadosReais&amp;Graficos'!soilClass&gt;0,0.8-0.1*'DadosReais&amp;Graficos'!soilClass,IF('DadosReais&amp;Graficos'!soilClass&lt;0,SWconst0,999))</f>
        <v>0.6000000000000001</v>
      </c>
      <c r="AD147" s="23">
        <f>IF('DadosReais&amp;Graficos'!soilClass&gt;0,11-2*'DadosReais&amp;Graficos'!soilClass,SWpower0)</f>
        <v>7</v>
      </c>
      <c r="AE147" s="24">
        <f>1/(1+((1-CD147/'DadosReais&amp;Graficos'!MaxASW)/AC147)^AD147)</f>
        <v>0.4464839039553775</v>
      </c>
      <c r="AF147" s="24">
        <f t="shared" si="216"/>
        <v>0.6</v>
      </c>
      <c r="AG147" s="27">
        <f t="shared" si="186"/>
        <v>1</v>
      </c>
      <c r="AH147" s="27">
        <f t="shared" si="217"/>
        <v>0.6333333333333333</v>
      </c>
      <c r="AI147" s="27">
        <f t="shared" si="218"/>
        <v>0.9805189807363085</v>
      </c>
      <c r="AJ147" s="24">
        <f t="shared" si="219"/>
        <v>0.4377859424214946</v>
      </c>
      <c r="AM147" s="27">
        <f t="shared" si="255"/>
        <v>302.7903480529785</v>
      </c>
      <c r="AN147" s="27">
        <f t="shared" si="220"/>
        <v>1</v>
      </c>
      <c r="AO147" s="27">
        <f t="shared" si="221"/>
        <v>0.77926445431013</v>
      </c>
      <c r="AP147" s="27">
        <f t="shared" si="222"/>
        <v>235.95375534587865</v>
      </c>
      <c r="AQ147" s="27">
        <f t="shared" si="223"/>
        <v>0.011099479832211386</v>
      </c>
      <c r="AR147" s="27">
        <f t="shared" si="187"/>
        <v>0.6126912867380684</v>
      </c>
      <c r="AS147" s="27">
        <f t="shared" si="256"/>
        <v>1</v>
      </c>
      <c r="AT147" s="25">
        <f t="shared" si="257"/>
        <v>1.4456680997354576</v>
      </c>
      <c r="AU147" s="25">
        <f t="shared" si="188"/>
        <v>0.679464006875665</v>
      </c>
      <c r="AW147" s="25">
        <f t="shared" si="189"/>
        <v>0.6</v>
      </c>
      <c r="AX147" s="25">
        <f t="shared" si="224"/>
        <v>0.08954862997089494</v>
      </c>
      <c r="AY147" s="25">
        <f t="shared" si="238"/>
        <v>0.31000055861423087</v>
      </c>
      <c r="AZ147" s="25">
        <f t="shared" si="225"/>
        <v>0.6332892561245302</v>
      </c>
      <c r="BA147" s="25">
        <f t="shared" si="226"/>
        <v>0.05671018526123883</v>
      </c>
      <c r="BB147" s="25">
        <f t="shared" si="239"/>
        <v>0.03853252970826262</v>
      </c>
      <c r="BC147" s="25">
        <f t="shared" si="240"/>
        <v>0.21063422168971976</v>
      </c>
      <c r="BD147" s="25">
        <f t="shared" si="241"/>
        <v>0.4302972554776826</v>
      </c>
      <c r="BG147" s="76">
        <f t="shared" si="258"/>
        <v>34001</v>
      </c>
      <c r="BH147" s="30">
        <f t="shared" si="242"/>
        <v>28</v>
      </c>
      <c r="BI147" s="27">
        <f>'PSP-1 Metdata'!D148</f>
        <v>10.399999618530273</v>
      </c>
      <c r="BJ147" s="28">
        <f>'PSP-1 Metdata'!E148</f>
        <v>17.299999237060547</v>
      </c>
      <c r="BK147" s="28">
        <f>'PSP-1 Metdata'!F148</f>
        <v>3.5</v>
      </c>
      <c r="BL147" s="28">
        <f>'PSP-1 Metdata'!G148</f>
        <v>35.6</v>
      </c>
      <c r="BM147" s="28">
        <f>'PSP-1 Metdata'!I148</f>
        <v>10.81394100189209</v>
      </c>
      <c r="BN147" s="28">
        <f>'PSP-1 Metdata'!J148</f>
        <v>2</v>
      </c>
      <c r="BO147" s="28">
        <f>'PSP-1 Metdata'!K148</f>
        <v>11</v>
      </c>
      <c r="BP147" s="25">
        <f>'PSP-1 Metdata'!L148</f>
        <v>19.74677914314186</v>
      </c>
      <c r="BQ147" s="25">
        <f>'PSP-1 Metdata'!M148</f>
        <v>7.850439754090702</v>
      </c>
      <c r="BR147" s="25">
        <f>'PSP-1 Metdata'!N148</f>
        <v>5.94816969452558</v>
      </c>
      <c r="BT147" s="25">
        <f t="shared" si="259"/>
        <v>37850.90307676919</v>
      </c>
      <c r="BU147" s="25">
        <f t="shared" si="243"/>
        <v>138.55868944440792</v>
      </c>
      <c r="BV147" s="25">
        <f t="shared" si="196"/>
        <v>0.2</v>
      </c>
      <c r="BW147" s="25">
        <f t="shared" si="244"/>
        <v>2184.339219116996</v>
      </c>
      <c r="BX147" s="25">
        <f t="shared" si="245"/>
        <v>0.007944775842088463</v>
      </c>
      <c r="BY147" s="25">
        <f t="shared" si="227"/>
        <v>28.37377506618557</v>
      </c>
      <c r="BZ147" s="25">
        <f t="shared" si="228"/>
        <v>87.72778137869847</v>
      </c>
      <c r="CA147" s="27">
        <f t="shared" si="229"/>
        <v>1.3498275406931353</v>
      </c>
      <c r="CB147" s="139">
        <f t="shared" si="260"/>
        <v>37.795171139407785</v>
      </c>
      <c r="CD147" s="27">
        <f>IF(CJ146&lt;'DadosReais&amp;Graficos'!MinASW,'DadosReais&amp;Graficos'!MinASW,IF(CJ146&gt;'DadosReais&amp;Graficos'!MaxASW,'DadosReais&amp;Graficos'!MaxASW,CJ146))</f>
        <v>76.25908872819842</v>
      </c>
      <c r="CE147" s="25">
        <f t="shared" si="246"/>
        <v>5.34</v>
      </c>
      <c r="CG147" s="27">
        <f t="shared" si="247"/>
        <v>111.85908872819843</v>
      </c>
      <c r="CH147" s="27">
        <f t="shared" si="261"/>
        <v>43.13517113940779</v>
      </c>
      <c r="CI147" s="27">
        <f>MAX(CG147-CH147-'DadosReais&amp;Graficos'!MaxASW,0)</f>
        <v>0</v>
      </c>
      <c r="CJ147" s="27">
        <f t="shared" si="262"/>
        <v>68.72391758879064</v>
      </c>
      <c r="CK147" s="27">
        <f>poolFractn*Month!CI147</f>
        <v>0</v>
      </c>
      <c r="CQ147" s="25">
        <f>SIN(PI()*'DadosReais&amp;Graficos'!Lat/180)</f>
        <v>0.6293203910498374</v>
      </c>
      <c r="CR147" s="25">
        <f>COS(PI()*'DadosReais&amp;Graficos'!Lat/180)</f>
        <v>0.7771459614569709</v>
      </c>
      <c r="CS147" s="25">
        <f t="shared" si="230"/>
        <v>1993</v>
      </c>
      <c r="CT147" s="29">
        <f t="shared" si="265"/>
        <v>33970</v>
      </c>
      <c r="CU147" s="30">
        <f t="shared" si="263"/>
        <v>2</v>
      </c>
      <c r="CV147" s="27">
        <f t="shared" si="248"/>
        <v>44</v>
      </c>
      <c r="CW147" s="25">
        <f t="shared" si="266"/>
        <v>-0.2321535487640738</v>
      </c>
      <c r="CX147" s="25">
        <f t="shared" si="231"/>
        <v>0.19327466507755395</v>
      </c>
      <c r="CY147" s="25">
        <f t="shared" si="267"/>
        <v>0.43808915598112486</v>
      </c>
      <c r="CZ147" s="25">
        <f t="shared" si="268"/>
        <v>37850.90307676919</v>
      </c>
    </row>
    <row r="148" spans="1:104" ht="12.75">
      <c r="A148" s="149">
        <f t="shared" si="249"/>
        <v>34028</v>
      </c>
      <c r="B148" s="60">
        <f t="shared" si="232"/>
        <v>17.92</v>
      </c>
      <c r="C148" s="78">
        <f t="shared" si="233"/>
        <v>17.91666666666669</v>
      </c>
      <c r="D148" s="171">
        <f t="shared" si="250"/>
        <v>158847.82200932424</v>
      </c>
      <c r="E148" s="30">
        <f t="shared" si="269"/>
        <v>1111</v>
      </c>
      <c r="F148" s="27">
        <f t="shared" si="251"/>
        <v>7.494280784071489</v>
      </c>
      <c r="G148" s="27">
        <f t="shared" si="252"/>
        <v>37.25832849817999</v>
      </c>
      <c r="H148" s="27">
        <f t="shared" si="253"/>
        <v>211.15615642030255</v>
      </c>
      <c r="I148" s="27">
        <f t="shared" si="254"/>
        <v>218.65043720437404</v>
      </c>
      <c r="J148" s="27">
        <f t="shared" si="207"/>
        <v>255.90876570255404</v>
      </c>
      <c r="K148" s="27">
        <f t="shared" si="208"/>
        <v>4.000000000000003</v>
      </c>
      <c r="L148" s="27">
        <f t="shared" si="209"/>
        <v>2.9977123136285977</v>
      </c>
      <c r="M148" s="27">
        <f t="shared" si="210"/>
        <v>14.711938107956728</v>
      </c>
      <c r="O148" s="25">
        <f t="shared" si="180"/>
        <v>0.013</v>
      </c>
      <c r="P148" s="25">
        <f t="shared" si="211"/>
        <v>0.09742565019292936</v>
      </c>
      <c r="Q148" s="25">
        <f t="shared" si="212"/>
        <v>0.37258328498179993</v>
      </c>
      <c r="S148" s="27">
        <f t="shared" si="264"/>
        <v>190.0595467329456</v>
      </c>
      <c r="T148" s="27">
        <f t="shared" si="181"/>
        <v>20.20846853889251</v>
      </c>
      <c r="U148" s="27">
        <f t="shared" si="213"/>
        <v>0.1512062135585666</v>
      </c>
      <c r="V148" s="27">
        <f t="shared" si="214"/>
        <v>0.45</v>
      </c>
      <c r="W148" s="27">
        <f t="shared" si="234"/>
        <v>398.2845189742404</v>
      </c>
      <c r="X148" s="27">
        <f t="shared" si="235"/>
        <v>22.22983361716688</v>
      </c>
      <c r="Y148" s="27">
        <f t="shared" si="236"/>
        <v>35.63450623567336</v>
      </c>
      <c r="AA148" s="24">
        <f t="shared" si="237"/>
        <v>0.8919388232619462</v>
      </c>
      <c r="AB148" s="23">
        <f t="shared" si="215"/>
        <v>0.7442576129050591</v>
      </c>
      <c r="AC148" s="23">
        <f>IF('DadosReais&amp;Graficos'!soilClass&gt;0,0.8-0.1*'DadosReais&amp;Graficos'!soilClass,IF('DadosReais&amp;Graficos'!soilClass&lt;0,SWconst0,999))</f>
        <v>0.6000000000000001</v>
      </c>
      <c r="AD148" s="23">
        <f>IF('DadosReais&amp;Graficos'!soilClass&gt;0,11-2*'DadosReais&amp;Graficos'!soilClass,SWpower0)</f>
        <v>7</v>
      </c>
      <c r="AE148" s="24">
        <f>1/(1+((1-CD148/'DadosReais&amp;Graficos'!MaxASW)/AC148)^AD148)</f>
        <v>0.34781080352831334</v>
      </c>
      <c r="AF148" s="24">
        <f t="shared" si="216"/>
        <v>0.6</v>
      </c>
      <c r="AG148" s="27">
        <f t="shared" si="186"/>
        <v>1</v>
      </c>
      <c r="AH148" s="27">
        <f t="shared" si="217"/>
        <v>0.8666666666666667</v>
      </c>
      <c r="AI148" s="27">
        <f t="shared" si="218"/>
        <v>0.9801595645718615</v>
      </c>
      <c r="AJ148" s="24">
        <f t="shared" si="219"/>
        <v>0.3409100857397009</v>
      </c>
      <c r="AM148" s="27">
        <f t="shared" si="255"/>
        <v>479.80622386932373</v>
      </c>
      <c r="AN148" s="27">
        <f t="shared" si="220"/>
        <v>1</v>
      </c>
      <c r="AO148" s="27">
        <f t="shared" si="221"/>
        <v>0.7766144679134779</v>
      </c>
      <c r="AP148" s="27">
        <f t="shared" si="222"/>
        <v>372.6244552518499</v>
      </c>
      <c r="AQ148" s="27">
        <f t="shared" si="223"/>
        <v>0.014494048173976704</v>
      </c>
      <c r="AR148" s="27">
        <f t="shared" si="187"/>
        <v>0.800071459203514</v>
      </c>
      <c r="AS148" s="27">
        <f t="shared" si="256"/>
        <v>1</v>
      </c>
      <c r="AT148" s="25">
        <f t="shared" si="257"/>
        <v>2.9812619164826204</v>
      </c>
      <c r="AU148" s="25">
        <f t="shared" si="188"/>
        <v>1.4011931007468315</v>
      </c>
      <c r="AW148" s="25">
        <f t="shared" si="189"/>
        <v>0.6</v>
      </c>
      <c r="AX148" s="25">
        <f t="shared" si="224"/>
        <v>0.08951334236687619</v>
      </c>
      <c r="AY148" s="25">
        <f t="shared" si="238"/>
        <v>0.33846121936256296</v>
      </c>
      <c r="AZ148" s="25">
        <f t="shared" si="225"/>
        <v>0.6071874064435959</v>
      </c>
      <c r="BA148" s="25">
        <f t="shared" si="226"/>
        <v>0.05435137419384117</v>
      </c>
      <c r="BB148" s="25">
        <f t="shared" si="239"/>
        <v>0.07615677053651963</v>
      </c>
      <c r="BC148" s="25">
        <f t="shared" si="240"/>
        <v>0.4742495254411831</v>
      </c>
      <c r="BD148" s="25">
        <f t="shared" si="241"/>
        <v>0.8507868047691288</v>
      </c>
      <c r="BG148" s="76">
        <f t="shared" si="258"/>
        <v>34029</v>
      </c>
      <c r="BH148" s="30">
        <f t="shared" si="242"/>
        <v>31</v>
      </c>
      <c r="BI148" s="27">
        <f>'PSP-1 Metdata'!D149</f>
        <v>12.349999904632568</v>
      </c>
      <c r="BJ148" s="28">
        <f>'PSP-1 Metdata'!E149</f>
        <v>18.5</v>
      </c>
      <c r="BK148" s="28">
        <f>'PSP-1 Metdata'!F149</f>
        <v>6.199999809265137</v>
      </c>
      <c r="BL148" s="28">
        <f>'PSP-1 Metdata'!G149</f>
        <v>41.6</v>
      </c>
      <c r="BM148" s="28">
        <f>'PSP-1 Metdata'!I149</f>
        <v>15.477620124816895</v>
      </c>
      <c r="BN148" s="28">
        <f>'PSP-1 Metdata'!J149</f>
        <v>7</v>
      </c>
      <c r="BO148" s="28">
        <f>'PSP-1 Metdata'!K149</f>
        <v>4</v>
      </c>
      <c r="BP148" s="25">
        <f>'PSP-1 Metdata'!L149</f>
        <v>21.295535465661136</v>
      </c>
      <c r="BQ148" s="25">
        <f>'PSP-1 Metdata'!M149</f>
        <v>9.480813458603333</v>
      </c>
      <c r="BR148" s="25">
        <f>'PSP-1 Metdata'!N149</f>
        <v>5.9073610035289015</v>
      </c>
      <c r="BT148" s="25">
        <f t="shared" si="259"/>
        <v>42434.28237611158</v>
      </c>
      <c r="BU148" s="25">
        <f t="shared" si="243"/>
        <v>201.7946388277802</v>
      </c>
      <c r="BV148" s="25">
        <f t="shared" si="196"/>
        <v>0.2</v>
      </c>
      <c r="BW148" s="25">
        <f t="shared" si="244"/>
        <v>2169.3530924927145</v>
      </c>
      <c r="BX148" s="25">
        <f t="shared" si="245"/>
        <v>0.0061378400111836776</v>
      </c>
      <c r="BY148" s="25">
        <f t="shared" si="227"/>
        <v>35.78475288303095</v>
      </c>
      <c r="BZ148" s="25">
        <f t="shared" si="228"/>
        <v>73.02834552067154</v>
      </c>
      <c r="CA148" s="27">
        <f t="shared" si="229"/>
        <v>1.2597176566196826</v>
      </c>
      <c r="CB148" s="139">
        <f t="shared" si="260"/>
        <v>39.05124735521016</v>
      </c>
      <c r="CD148" s="27">
        <f>IF(CJ147&lt;'DadosReais&amp;Graficos'!MinASW,'DadosReais&amp;Graficos'!MinASW,IF(CJ147&gt;'DadosReais&amp;Graficos'!MaxASW,'DadosReais&amp;Graficos'!MaxASW,CJ147))</f>
        <v>68.72391758879064</v>
      </c>
      <c r="CE148" s="25">
        <f t="shared" si="246"/>
        <v>6.24</v>
      </c>
      <c r="CG148" s="27">
        <f t="shared" si="247"/>
        <v>110.32391758879064</v>
      </c>
      <c r="CH148" s="27">
        <f t="shared" si="261"/>
        <v>45.29124735521016</v>
      </c>
      <c r="CI148" s="27">
        <f>MAX(CG148-CH148-'DadosReais&amp;Graficos'!MaxASW,0)</f>
        <v>0</v>
      </c>
      <c r="CJ148" s="27">
        <f t="shared" si="262"/>
        <v>65.03267023358048</v>
      </c>
      <c r="CK148" s="27">
        <f>poolFractn*Month!CI148</f>
        <v>0</v>
      </c>
      <c r="CQ148" s="25">
        <f>SIN(PI()*'DadosReais&amp;Graficos'!Lat/180)</f>
        <v>0.6293203910498374</v>
      </c>
      <c r="CR148" s="25">
        <f>COS(PI()*'DadosReais&amp;Graficos'!Lat/180)</f>
        <v>0.7771459614569709</v>
      </c>
      <c r="CS148" s="25">
        <f t="shared" si="230"/>
        <v>1993</v>
      </c>
      <c r="CT148" s="29">
        <f t="shared" si="265"/>
        <v>33970</v>
      </c>
      <c r="CU148" s="30">
        <f t="shared" si="263"/>
        <v>3</v>
      </c>
      <c r="CV148" s="27">
        <f t="shared" si="248"/>
        <v>75</v>
      </c>
      <c r="CW148" s="25">
        <f t="shared" si="266"/>
        <v>-0.03435761194480621</v>
      </c>
      <c r="CX148" s="25">
        <f t="shared" si="231"/>
        <v>0.027838681446559606</v>
      </c>
      <c r="CY148" s="25">
        <f t="shared" si="267"/>
        <v>0.49113752750129147</v>
      </c>
      <c r="CZ148" s="25">
        <f t="shared" si="268"/>
        <v>42434.28237611158</v>
      </c>
    </row>
    <row r="149" spans="1:104" ht="12.75">
      <c r="A149" s="149">
        <f t="shared" si="249"/>
        <v>34056</v>
      </c>
      <c r="B149" s="60">
        <f t="shared" si="232"/>
        <v>18</v>
      </c>
      <c r="C149" s="78">
        <f t="shared" si="233"/>
        <v>18.00000000000002</v>
      </c>
      <c r="D149" s="171">
        <f t="shared" si="250"/>
        <v>157956.05271515495</v>
      </c>
      <c r="E149" s="30">
        <f t="shared" si="269"/>
        <v>1111</v>
      </c>
      <c r="F149" s="27">
        <f>F148+BB148-P148</f>
        <v>7.47301190441508</v>
      </c>
      <c r="G149" s="27">
        <f>G148+BC148-Q148</f>
        <v>37.35999473863937</v>
      </c>
      <c r="H149" s="27">
        <f>H148+BD148</f>
        <v>212.00694322507167</v>
      </c>
      <c r="I149" s="27">
        <f>F149+H149</f>
        <v>219.47995512948674</v>
      </c>
      <c r="J149" s="27">
        <f>SUM(F149:H149)</f>
        <v>256.8399498681261</v>
      </c>
      <c r="K149" s="27">
        <f>SLA1+(SLA0-SLA1)*EXP(-LN(2)*(C149/tSLA)^2)</f>
        <v>4.000000000000002</v>
      </c>
      <c r="L149" s="27">
        <f>0.1*F149*K149</f>
        <v>2.989204761766034</v>
      </c>
      <c r="M149" s="27">
        <f>M148+P148</f>
        <v>14.809363758149658</v>
      </c>
      <c r="AR149" s="27">
        <f t="shared" si="187"/>
        <v>0</v>
      </c>
      <c r="AS149" s="27">
        <f t="shared" si="256"/>
        <v>1</v>
      </c>
      <c r="AT149" s="25">
        <f t="shared" si="257"/>
        <v>0</v>
      </c>
      <c r="AU149" s="25">
        <f t="shared" si="188"/>
        <v>0</v>
      </c>
      <c r="AW149" s="25">
        <f t="shared" si="189"/>
        <v>0</v>
      </c>
      <c r="AX149" s="25" t="e">
        <f t="shared" si="224"/>
        <v>#DIV/0!</v>
      </c>
      <c r="AY149" s="25">
        <f t="shared" si="238"/>
        <v>0.5</v>
      </c>
      <c r="AZ149" s="25" t="e">
        <f t="shared" si="225"/>
        <v>#DIV/0!</v>
      </c>
      <c r="BA149" s="25" t="e">
        <f t="shared" si="226"/>
        <v>#DIV/0!</v>
      </c>
      <c r="BB149" s="25" t="e">
        <f t="shared" si="239"/>
        <v>#DIV/0!</v>
      </c>
      <c r="BC149" s="25">
        <f t="shared" si="240"/>
        <v>0</v>
      </c>
      <c r="BD149" s="25" t="e">
        <f t="shared" si="241"/>
        <v>#DIV/0!</v>
      </c>
      <c r="BG149" s="76">
        <f t="shared" si="258"/>
        <v>34060</v>
      </c>
      <c r="BH149" s="30">
        <f t="shared" si="242"/>
        <v>30</v>
      </c>
      <c r="BI149" s="27">
        <f>'PSP-1 Metdata'!D150</f>
        <v>12.600000381469727</v>
      </c>
      <c r="BJ149" s="28">
        <f>'PSP-1 Metdata'!E150</f>
        <v>18.200000762939453</v>
      </c>
      <c r="BK149" s="28">
        <f>'PSP-1 Metdata'!F150</f>
        <v>7</v>
      </c>
      <c r="BL149" s="28">
        <f>'PSP-1 Metdata'!G150</f>
        <v>101.52000122070314</v>
      </c>
      <c r="BM149" s="28">
        <f>'PSP-1 Metdata'!I150</f>
        <v>18.618253707885742</v>
      </c>
      <c r="BN149" s="28">
        <f>'PSP-1 Metdata'!J150</f>
        <v>17</v>
      </c>
      <c r="BO149" s="28">
        <f>'PSP-1 Metdata'!K150</f>
        <v>0</v>
      </c>
      <c r="BP149" s="25">
        <f>'PSP-1 Metdata'!L150</f>
        <v>20.898705906746393</v>
      </c>
      <c r="BQ149" s="25">
        <f>'PSP-1 Metdata'!M150</f>
        <v>10.01796915987648</v>
      </c>
      <c r="BR149" s="25">
        <f>'PSP-1 Metdata'!N150</f>
        <v>5.440368373434956</v>
      </c>
      <c r="BT149" s="25">
        <f t="shared" si="259"/>
        <v>46978.19870062779</v>
      </c>
      <c r="BU149" s="25">
        <f t="shared" si="243"/>
        <v>227.0535137208135</v>
      </c>
      <c r="BV149" s="25">
        <f t="shared" si="196"/>
        <v>0.2</v>
      </c>
      <c r="BW149" s="25">
        <f t="shared" si="244"/>
        <v>1997.8599493344711</v>
      </c>
      <c r="BX149" s="25">
        <f t="shared" si="245"/>
        <v>0.0001</v>
      </c>
      <c r="BY149" s="25">
        <f t="shared" si="227"/>
        <v>2003.2</v>
      </c>
      <c r="BZ149" s="25">
        <f t="shared" si="228"/>
        <v>1.2466941291534848</v>
      </c>
      <c r="CA149" s="27">
        <f t="shared" si="229"/>
        <v>0.02380790427572298</v>
      </c>
      <c r="CB149" s="139">
        <f t="shared" si="260"/>
        <v>0.7142371282716894</v>
      </c>
      <c r="CD149" s="27">
        <f>IF(CJ148&lt;'DadosReais&amp;Graficos'!MinASW,'DadosReais&amp;Graficos'!MinASW,IF(CJ148&gt;'DadosReais&amp;Graficos'!MaxASW,'DadosReais&amp;Graficos'!MaxASW,CJ148))</f>
        <v>65.03267023358048</v>
      </c>
      <c r="CE149" s="25">
        <f t="shared" si="246"/>
        <v>15.22800018310547</v>
      </c>
      <c r="CG149" s="27">
        <f t="shared" si="247"/>
        <v>166.5526714542836</v>
      </c>
      <c r="CH149" s="27">
        <f t="shared" si="261"/>
        <v>15.94223731137716</v>
      </c>
      <c r="CI149" s="27">
        <f>MAX(CG149-CH149-'DadosReais&amp;Graficos'!MaxASW,0)</f>
        <v>0</v>
      </c>
      <c r="CJ149" s="27">
        <f t="shared" si="262"/>
        <v>150.61043414290643</v>
      </c>
      <c r="CK149" s="27">
        <f>poolFractn*Month!CI149</f>
        <v>0</v>
      </c>
      <c r="CQ149" s="25">
        <f>SIN(PI()*'DadosReais&amp;Graficos'!Lat/180)</f>
        <v>0.6293203910498374</v>
      </c>
      <c r="CR149" s="25">
        <f>COS(PI()*'DadosReais&amp;Graficos'!Lat/180)</f>
        <v>0.7771459614569709</v>
      </c>
      <c r="CS149" s="25">
        <f t="shared" si="230"/>
        <v>1993</v>
      </c>
      <c r="CT149" s="29">
        <f t="shared" si="265"/>
        <v>33970</v>
      </c>
      <c r="CU149" s="30">
        <f t="shared" si="263"/>
        <v>4</v>
      </c>
      <c r="CV149" s="27">
        <f t="shared" si="248"/>
        <v>105</v>
      </c>
      <c r="CW149" s="25">
        <f t="shared" si="266"/>
        <v>0.16674832097168432</v>
      </c>
      <c r="CX149" s="25">
        <f t="shared" si="231"/>
        <v>-0.13694746197546548</v>
      </c>
      <c r="CY149" s="25">
        <f t="shared" si="267"/>
        <v>0.5437291516276365</v>
      </c>
      <c r="CZ149" s="25">
        <f t="shared" si="268"/>
        <v>46978.19870062779</v>
      </c>
    </row>
    <row r="150" spans="1:60" ht="12.75">
      <c r="A150" s="149">
        <f t="shared" si="249"/>
        <v>34087</v>
      </c>
      <c r="B150" s="60">
        <f>ROUND(C150,2)</f>
        <v>18.08</v>
      </c>
      <c r="C150" s="78">
        <f>C149+1/12</f>
        <v>18.083333333333353</v>
      </c>
      <c r="D150" s="171"/>
      <c r="BG150" s="76">
        <f t="shared" si="258"/>
        <v>34090</v>
      </c>
      <c r="BH150" s="148"/>
    </row>
  </sheetData>
  <sheetProtection/>
  <mergeCells count="12">
    <mergeCell ref="AM1:AU1"/>
    <mergeCell ref="AW1:BD1"/>
    <mergeCell ref="E1:M1"/>
    <mergeCell ref="O1:Q1"/>
    <mergeCell ref="AA1:AJ1"/>
    <mergeCell ref="S1:Y1"/>
    <mergeCell ref="CQ1:CZ1"/>
    <mergeCell ref="BT1:CB1"/>
    <mergeCell ref="CN4:CO4"/>
    <mergeCell ref="CM1:CO1"/>
    <mergeCell ref="CD1:CK1"/>
    <mergeCell ref="BG1:BR1"/>
  </mergeCells>
  <printOptions gridLines="1"/>
  <pageMargins left="0.32" right="0.5" top="0.54" bottom="0.4" header="0.5" footer="0.32"/>
  <pageSetup orientation="landscape" paperSize="9" r:id="rId1"/>
  <ignoredErrors>
    <ignoredError sqref="J6:J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N542"/>
  <sheetViews>
    <sheetView zoomScalePageLayoutView="0" workbookViewId="0" topLeftCell="A1">
      <pane ySplit="2" topLeftCell="A3" activePane="bottomLeft" state="frozen"/>
      <selection pane="topLeft" activeCell="CJ68" sqref="CJ68"/>
      <selection pane="bottomLeft" activeCell="N4" sqref="N4"/>
    </sheetView>
  </sheetViews>
  <sheetFormatPr defaultColWidth="8.7109375" defaultRowHeight="12.75"/>
  <cols>
    <col min="1" max="16384" width="8.7109375" style="125" customWidth="1"/>
  </cols>
  <sheetData>
    <row r="1" spans="2:4" ht="12.75">
      <c r="B1" s="126" t="s">
        <v>268</v>
      </c>
      <c r="C1" s="127" t="s">
        <v>269</v>
      </c>
      <c r="D1" s="127"/>
    </row>
    <row r="2" spans="2:14" s="130" customFormat="1" ht="25.5">
      <c r="B2" s="128" t="s">
        <v>270</v>
      </c>
      <c r="C2" s="128" t="s">
        <v>207</v>
      </c>
      <c r="D2" s="129" t="s">
        <v>285</v>
      </c>
      <c r="E2" s="129" t="s">
        <v>24</v>
      </c>
      <c r="F2" s="129" t="s">
        <v>19</v>
      </c>
      <c r="G2" s="129" t="s">
        <v>271</v>
      </c>
      <c r="H2" s="129" t="s">
        <v>272</v>
      </c>
      <c r="I2" s="129" t="s">
        <v>273</v>
      </c>
      <c r="J2" s="129" t="s">
        <v>157</v>
      </c>
      <c r="K2" s="129" t="s">
        <v>158</v>
      </c>
      <c r="L2" s="140" t="s">
        <v>165</v>
      </c>
      <c r="M2" s="140" t="s">
        <v>166</v>
      </c>
      <c r="N2" s="140" t="s">
        <v>164</v>
      </c>
    </row>
    <row r="3" spans="2:14" ht="12.75">
      <c r="B3" s="124">
        <v>1981</v>
      </c>
      <c r="C3" s="124" t="s">
        <v>274</v>
      </c>
      <c r="D3" s="125">
        <f aca="true" t="shared" si="0" ref="D3:D66">(E3+F3)/2</f>
        <v>8.799999833106995</v>
      </c>
      <c r="E3" s="131">
        <v>15.899999618530273</v>
      </c>
      <c r="F3" s="131">
        <v>1.7000000476837158</v>
      </c>
      <c r="G3" s="131">
        <v>1.2800000190734864</v>
      </c>
      <c r="H3" s="131">
        <v>71.5999984741211</v>
      </c>
      <c r="I3" s="131">
        <v>9.202902793884277</v>
      </c>
      <c r="J3" s="131">
        <v>0</v>
      </c>
      <c r="K3" s="131">
        <v>14</v>
      </c>
      <c r="L3" s="25">
        <f>6.1078*EXP(17.269*E3/(237.3+E3))</f>
        <v>18.06532479379342</v>
      </c>
      <c r="M3" s="25">
        <f>6.1078*EXP(17.269*F3/(237.3+F3))</f>
        <v>6.906068635928697</v>
      </c>
      <c r="N3" s="125">
        <f>(L3-M3)/2</f>
        <v>5.579628078932361</v>
      </c>
    </row>
    <row r="4" spans="2:14" ht="12.75">
      <c r="B4" s="124"/>
      <c r="C4" s="124" t="s">
        <v>275</v>
      </c>
      <c r="D4" s="125">
        <f t="shared" si="0"/>
        <v>9.100000143051147</v>
      </c>
      <c r="E4" s="131">
        <v>15.300000190734863</v>
      </c>
      <c r="F4" s="131">
        <v>2.9000000953674316</v>
      </c>
      <c r="G4" s="131">
        <v>36.23999938964844</v>
      </c>
      <c r="H4" s="131">
        <v>65.69999694824219</v>
      </c>
      <c r="I4" s="131">
        <v>11.844642639160156</v>
      </c>
      <c r="J4" s="131">
        <v>7</v>
      </c>
      <c r="K4" s="131">
        <v>7</v>
      </c>
      <c r="L4" s="25">
        <f aca="true" t="shared" si="1" ref="L4:L67">6.1078*EXP(17.269*E4/(237.3+E4))</f>
        <v>17.38401691018374</v>
      </c>
      <c r="M4" s="25">
        <f aca="true" t="shared" si="2" ref="M4:M67">6.1078*EXP(17.269*F4/(237.3+F4))</f>
        <v>7.523714673488002</v>
      </c>
      <c r="N4" s="125">
        <f aca="true" t="shared" si="3" ref="N4:N67">(L4-M4)/2</f>
        <v>4.930151118347869</v>
      </c>
    </row>
    <row r="5" spans="2:14" ht="12.75">
      <c r="B5" s="124"/>
      <c r="C5" s="124" t="s">
        <v>265</v>
      </c>
      <c r="D5" s="125">
        <f t="shared" si="0"/>
        <v>13.199999809265137</v>
      </c>
      <c r="E5" s="131">
        <v>17.899999618530273</v>
      </c>
      <c r="F5" s="131">
        <v>8.5</v>
      </c>
      <c r="G5" s="131">
        <v>60.959997558593756</v>
      </c>
      <c r="H5" s="131">
        <v>67.9000015258789</v>
      </c>
      <c r="I5" s="131">
        <v>11.940322875976562</v>
      </c>
      <c r="J5" s="131">
        <v>10</v>
      </c>
      <c r="K5" s="131">
        <v>0</v>
      </c>
      <c r="L5" s="25">
        <f t="shared" si="1"/>
        <v>20.508361575311643</v>
      </c>
      <c r="M5" s="25">
        <f t="shared" si="2"/>
        <v>11.097781720716483</v>
      </c>
      <c r="N5" s="125">
        <f t="shared" si="3"/>
        <v>4.70528992729758</v>
      </c>
    </row>
    <row r="6" spans="2:14" ht="12.75">
      <c r="B6" s="124"/>
      <c r="C6" s="124" t="s">
        <v>276</v>
      </c>
      <c r="D6" s="125">
        <f t="shared" si="0"/>
        <v>12.850000381469727</v>
      </c>
      <c r="E6" s="131">
        <v>17.700000762939453</v>
      </c>
      <c r="F6" s="131">
        <v>8</v>
      </c>
      <c r="G6" s="131">
        <v>78.24000244140626</v>
      </c>
      <c r="H6" s="131">
        <v>72.69999694824219</v>
      </c>
      <c r="I6" s="131">
        <v>16.83799934387207</v>
      </c>
      <c r="J6" s="131">
        <v>11</v>
      </c>
      <c r="K6" s="131">
        <v>0</v>
      </c>
      <c r="L6" s="25">
        <f t="shared" si="1"/>
        <v>20.251694228646116</v>
      </c>
      <c r="M6" s="25">
        <f t="shared" si="2"/>
        <v>10.726987145708597</v>
      </c>
      <c r="N6" s="125">
        <f t="shared" si="3"/>
        <v>4.76235354146876</v>
      </c>
    </row>
    <row r="7" spans="2:14" ht="12.75">
      <c r="B7" s="124"/>
      <c r="C7" s="124" t="s">
        <v>277</v>
      </c>
      <c r="D7" s="125">
        <f t="shared" si="0"/>
        <v>14.399999618530273</v>
      </c>
      <c r="E7" s="131">
        <v>18.899999618530273</v>
      </c>
      <c r="F7" s="131">
        <v>9.899999618530273</v>
      </c>
      <c r="G7" s="131">
        <v>70.47999877929688</v>
      </c>
      <c r="H7" s="131">
        <v>89.30000305175781</v>
      </c>
      <c r="I7" s="131">
        <v>23.847742080688477</v>
      </c>
      <c r="J7" s="131">
        <v>10</v>
      </c>
      <c r="K7" s="131">
        <v>0</v>
      </c>
      <c r="L7" s="25">
        <f t="shared" si="1"/>
        <v>21.834892027836773</v>
      </c>
      <c r="M7" s="25">
        <f t="shared" si="2"/>
        <v>12.196693839701425</v>
      </c>
      <c r="N7" s="125">
        <f t="shared" si="3"/>
        <v>4.819099094067674</v>
      </c>
    </row>
    <row r="8" spans="2:14" ht="12.75">
      <c r="B8" s="124"/>
      <c r="C8" s="124" t="s">
        <v>278</v>
      </c>
      <c r="D8" s="125">
        <f t="shared" si="0"/>
        <v>19.949999809265137</v>
      </c>
      <c r="E8" s="131">
        <v>26</v>
      </c>
      <c r="F8" s="131">
        <v>13.899999618530273</v>
      </c>
      <c r="G8" s="131">
        <v>15.439999389648438</v>
      </c>
      <c r="H8" s="131">
        <v>114.9000015258789</v>
      </c>
      <c r="I8" s="131">
        <v>25.564332962036133</v>
      </c>
      <c r="J8" s="131">
        <v>3</v>
      </c>
      <c r="K8" s="131">
        <v>0</v>
      </c>
      <c r="L8" s="25">
        <f t="shared" si="1"/>
        <v>33.6099785805441</v>
      </c>
      <c r="M8" s="25">
        <f t="shared" si="2"/>
        <v>15.881204192558155</v>
      </c>
      <c r="N8" s="125">
        <f t="shared" si="3"/>
        <v>8.864387193992973</v>
      </c>
    </row>
    <row r="9" spans="2:14" ht="12.75">
      <c r="B9" s="124"/>
      <c r="C9" s="124" t="s">
        <v>279</v>
      </c>
      <c r="D9" s="125">
        <f t="shared" si="0"/>
        <v>20.09999942779541</v>
      </c>
      <c r="E9" s="131">
        <v>26.799999237060547</v>
      </c>
      <c r="F9" s="131">
        <v>13.399999618530273</v>
      </c>
      <c r="G9" s="131">
        <v>5.3599998474121096</v>
      </c>
      <c r="H9" s="131">
        <v>168.10000610351562</v>
      </c>
      <c r="I9" s="131">
        <v>28.11322593688965</v>
      </c>
      <c r="J9" s="131">
        <v>1</v>
      </c>
      <c r="K9" s="131">
        <v>0</v>
      </c>
      <c r="L9" s="25">
        <f t="shared" si="1"/>
        <v>35.23246508776798</v>
      </c>
      <c r="M9" s="25">
        <f t="shared" si="2"/>
        <v>15.372812437338062</v>
      </c>
      <c r="N9" s="125">
        <f t="shared" si="3"/>
        <v>9.929826325214957</v>
      </c>
    </row>
    <row r="10" spans="2:14" ht="12.75">
      <c r="B10" s="124"/>
      <c r="C10" s="124" t="s">
        <v>280</v>
      </c>
      <c r="D10" s="125">
        <f t="shared" si="0"/>
        <v>19.75</v>
      </c>
      <c r="E10" s="131">
        <v>25.5</v>
      </c>
      <c r="F10" s="131">
        <v>14</v>
      </c>
      <c r="G10" s="131">
        <v>0</v>
      </c>
      <c r="H10" s="131">
        <v>102.19999694824219</v>
      </c>
      <c r="I10" s="131">
        <v>24.37129020690918</v>
      </c>
      <c r="J10" s="131">
        <v>0</v>
      </c>
      <c r="K10" s="131">
        <v>0</v>
      </c>
      <c r="L10" s="25">
        <f t="shared" si="1"/>
        <v>32.62933139993077</v>
      </c>
      <c r="M10" s="25">
        <f t="shared" si="2"/>
        <v>15.984634614301127</v>
      </c>
      <c r="N10" s="125">
        <f t="shared" si="3"/>
        <v>8.32234839281482</v>
      </c>
    </row>
    <row r="11" spans="2:14" ht="12.75">
      <c r="B11" s="124"/>
      <c r="C11" s="124" t="s">
        <v>281</v>
      </c>
      <c r="D11" s="125">
        <f t="shared" si="0"/>
        <v>19.25</v>
      </c>
      <c r="E11" s="131">
        <v>25</v>
      </c>
      <c r="F11" s="131">
        <v>13.5</v>
      </c>
      <c r="G11" s="131">
        <v>26.479998779296878</v>
      </c>
      <c r="H11" s="131">
        <v>92.9000015258789</v>
      </c>
      <c r="I11" s="131">
        <v>17.729333877563477</v>
      </c>
      <c r="J11" s="131">
        <v>5</v>
      </c>
      <c r="K11" s="131">
        <v>0</v>
      </c>
      <c r="L11" s="25">
        <f t="shared" si="1"/>
        <v>31.673720930966624</v>
      </c>
      <c r="M11" s="25">
        <f t="shared" si="2"/>
        <v>15.47333280888696</v>
      </c>
      <c r="N11" s="125">
        <f t="shared" si="3"/>
        <v>8.100194061039833</v>
      </c>
    </row>
    <row r="12" spans="2:14" ht="12.75">
      <c r="B12" s="124"/>
      <c r="C12" s="124" t="s">
        <v>282</v>
      </c>
      <c r="D12" s="125">
        <f t="shared" si="0"/>
        <v>16.249999523162842</v>
      </c>
      <c r="E12" s="131">
        <v>21.799999237060547</v>
      </c>
      <c r="F12" s="131">
        <v>10.699999809265137</v>
      </c>
      <c r="G12" s="131">
        <v>39.76000061035157</v>
      </c>
      <c r="H12" s="131">
        <v>71.5</v>
      </c>
      <c r="I12" s="131">
        <v>14.395161628723145</v>
      </c>
      <c r="J12" s="131">
        <v>5</v>
      </c>
      <c r="K12" s="131">
        <v>0</v>
      </c>
      <c r="L12" s="25">
        <f t="shared" si="1"/>
        <v>26.11566521908016</v>
      </c>
      <c r="M12" s="25">
        <f t="shared" si="2"/>
        <v>12.866672233938193</v>
      </c>
      <c r="N12" s="125">
        <f t="shared" si="3"/>
        <v>6.624496492570984</v>
      </c>
    </row>
    <row r="13" spans="2:14" ht="12.75">
      <c r="B13" s="124"/>
      <c r="C13" s="124" t="s">
        <v>283</v>
      </c>
      <c r="D13" s="125">
        <f t="shared" si="0"/>
        <v>14.749999523162842</v>
      </c>
      <c r="E13" s="131">
        <v>22.799999237060547</v>
      </c>
      <c r="F13" s="131">
        <v>6.699999809265137</v>
      </c>
      <c r="G13" s="131">
        <v>0.6400000095367432</v>
      </c>
      <c r="H13" s="131">
        <v>84.30000305175781</v>
      </c>
      <c r="I13" s="131">
        <v>9.53166675567627</v>
      </c>
      <c r="J13" s="131">
        <v>0</v>
      </c>
      <c r="K13" s="131">
        <v>0</v>
      </c>
      <c r="L13" s="25">
        <f t="shared" si="1"/>
        <v>27.75296930837055</v>
      </c>
      <c r="M13" s="25">
        <f t="shared" si="2"/>
        <v>9.813474436884212</v>
      </c>
      <c r="N13" s="125">
        <f t="shared" si="3"/>
        <v>8.96974743574317</v>
      </c>
    </row>
    <row r="14" spans="2:14" ht="12.75">
      <c r="B14" s="124"/>
      <c r="C14" s="124" t="s">
        <v>284</v>
      </c>
      <c r="D14" s="125">
        <f t="shared" si="0"/>
        <v>11.850000143051147</v>
      </c>
      <c r="E14" s="131">
        <v>16.100000381469727</v>
      </c>
      <c r="F14" s="131">
        <v>7.599999904632568</v>
      </c>
      <c r="G14" s="131">
        <v>235.36000976562502</v>
      </c>
      <c r="H14" s="131">
        <v>51.20000076293945</v>
      </c>
      <c r="I14" s="131">
        <v>5.952580451965332</v>
      </c>
      <c r="J14" s="131">
        <v>24</v>
      </c>
      <c r="K14" s="131">
        <v>3</v>
      </c>
      <c r="L14" s="25">
        <f t="shared" si="1"/>
        <v>18.29757110766953</v>
      </c>
      <c r="M14" s="25">
        <f t="shared" si="2"/>
        <v>10.43824853754112</v>
      </c>
      <c r="N14" s="125">
        <f t="shared" si="3"/>
        <v>3.9296612850642045</v>
      </c>
    </row>
    <row r="15" spans="2:14" ht="12.75">
      <c r="B15" s="124">
        <f>B3+1</f>
        <v>1982</v>
      </c>
      <c r="C15" s="124" t="str">
        <f aca="true" t="shared" si="4" ref="C15:C22">C3</f>
        <v>Jan</v>
      </c>
      <c r="D15" s="125">
        <f t="shared" si="0"/>
        <v>10.450000047683716</v>
      </c>
      <c r="E15" s="131">
        <v>15.800000190734863</v>
      </c>
      <c r="F15" s="131">
        <v>5.099999904632568</v>
      </c>
      <c r="G15" s="131">
        <v>56</v>
      </c>
      <c r="H15" s="131">
        <v>49.5</v>
      </c>
      <c r="I15" s="131">
        <v>7.541290283203125</v>
      </c>
      <c r="J15" s="131">
        <v>7</v>
      </c>
      <c r="K15" s="131">
        <v>4</v>
      </c>
      <c r="L15" s="25">
        <f t="shared" si="1"/>
        <v>17.950174629365215</v>
      </c>
      <c r="M15" s="25">
        <f t="shared" si="2"/>
        <v>8.783716037648261</v>
      </c>
      <c r="N15" s="125">
        <f t="shared" si="3"/>
        <v>4.583229295858477</v>
      </c>
    </row>
    <row r="16" spans="2:14" ht="12.75">
      <c r="B16" s="124"/>
      <c r="C16" s="124" t="str">
        <f t="shared" si="4"/>
        <v>Feb</v>
      </c>
      <c r="D16" s="125">
        <f t="shared" si="0"/>
        <v>10.899999856948853</v>
      </c>
      <c r="E16" s="131">
        <v>15.899999618530273</v>
      </c>
      <c r="F16" s="131">
        <v>5.900000095367432</v>
      </c>
      <c r="G16" s="131">
        <v>82.95999755859376</v>
      </c>
      <c r="H16" s="131">
        <v>53.900001525878906</v>
      </c>
      <c r="I16" s="131">
        <v>11.992856979370117</v>
      </c>
      <c r="J16" s="131">
        <v>11</v>
      </c>
      <c r="K16" s="131">
        <v>1</v>
      </c>
      <c r="L16" s="25">
        <f t="shared" si="1"/>
        <v>18.06532479379342</v>
      </c>
      <c r="M16" s="25">
        <f t="shared" si="2"/>
        <v>9.286022543193244</v>
      </c>
      <c r="N16" s="125">
        <f t="shared" si="3"/>
        <v>4.389651125300087</v>
      </c>
    </row>
    <row r="17" spans="2:14" ht="12.75">
      <c r="B17" s="124"/>
      <c r="C17" s="124" t="str">
        <f t="shared" si="4"/>
        <v>March</v>
      </c>
      <c r="D17" s="125">
        <f t="shared" si="0"/>
        <v>12.049999713897705</v>
      </c>
      <c r="E17" s="131">
        <v>18.299999237060547</v>
      </c>
      <c r="F17" s="131">
        <v>5.800000190734863</v>
      </c>
      <c r="G17" s="131">
        <v>9.91999969482422</v>
      </c>
      <c r="H17" s="131">
        <v>90.9000015258789</v>
      </c>
      <c r="I17" s="131">
        <v>17.057096481323242</v>
      </c>
      <c r="J17" s="131">
        <v>3</v>
      </c>
      <c r="K17" s="131">
        <v>1</v>
      </c>
      <c r="L17" s="25">
        <f t="shared" si="1"/>
        <v>21.03025541539633</v>
      </c>
      <c r="M17" s="25">
        <f t="shared" si="2"/>
        <v>9.22188069501885</v>
      </c>
      <c r="N17" s="125">
        <f t="shared" si="3"/>
        <v>5.90418736018874</v>
      </c>
    </row>
    <row r="18" spans="2:14" ht="12.75">
      <c r="B18" s="124"/>
      <c r="C18" s="124" t="str">
        <f t="shared" si="4"/>
        <v>April</v>
      </c>
      <c r="D18" s="125">
        <f t="shared" si="0"/>
        <v>14.450000286102295</v>
      </c>
      <c r="E18" s="131">
        <v>21.100000381469727</v>
      </c>
      <c r="F18" s="131">
        <v>7.800000190734863</v>
      </c>
      <c r="G18" s="131">
        <v>34.560000610351565</v>
      </c>
      <c r="H18" s="131">
        <v>98.5</v>
      </c>
      <c r="I18" s="131">
        <v>21.55900001525879</v>
      </c>
      <c r="J18" s="131">
        <v>6</v>
      </c>
      <c r="K18" s="131">
        <v>0</v>
      </c>
      <c r="L18" s="25">
        <f t="shared" si="1"/>
        <v>25.020365626527234</v>
      </c>
      <c r="M18" s="25">
        <f t="shared" si="2"/>
        <v>10.581751017917167</v>
      </c>
      <c r="N18" s="125">
        <f t="shared" si="3"/>
        <v>7.219307304305033</v>
      </c>
    </row>
    <row r="19" spans="2:14" ht="12.75">
      <c r="B19" s="124"/>
      <c r="C19" s="124" t="str">
        <f t="shared" si="4"/>
        <v>May</v>
      </c>
      <c r="D19" s="125">
        <f t="shared" si="0"/>
        <v>15.25</v>
      </c>
      <c r="E19" s="131">
        <v>20.600000381469727</v>
      </c>
      <c r="F19" s="131">
        <v>9.899999618530273</v>
      </c>
      <c r="G19" s="131">
        <v>19.360000610351562</v>
      </c>
      <c r="H19" s="131">
        <v>105.4000015258789</v>
      </c>
      <c r="I19" s="131">
        <v>23.9648380279541</v>
      </c>
      <c r="J19" s="131">
        <v>4</v>
      </c>
      <c r="K19" s="131">
        <v>1</v>
      </c>
      <c r="L19" s="25">
        <f t="shared" si="1"/>
        <v>24.262791052280953</v>
      </c>
      <c r="M19" s="25">
        <f t="shared" si="2"/>
        <v>12.196693839701425</v>
      </c>
      <c r="N19" s="125">
        <f t="shared" si="3"/>
        <v>6.033048606289764</v>
      </c>
    </row>
    <row r="20" spans="2:14" ht="12.75">
      <c r="B20" s="124"/>
      <c r="C20" s="124" t="str">
        <f t="shared" si="4"/>
        <v>June</v>
      </c>
      <c r="D20" s="125">
        <f t="shared" si="0"/>
        <v>17.699999809265137</v>
      </c>
      <c r="E20" s="131">
        <v>23</v>
      </c>
      <c r="F20" s="131">
        <v>12.399999618530273</v>
      </c>
      <c r="G20" s="131">
        <v>19.360000610351562</v>
      </c>
      <c r="H20" s="131">
        <v>104.5999984741211</v>
      </c>
      <c r="I20" s="131">
        <v>25.200332641601562</v>
      </c>
      <c r="J20" s="131">
        <v>5</v>
      </c>
      <c r="K20" s="131">
        <v>0</v>
      </c>
      <c r="L20" s="25">
        <f t="shared" si="1"/>
        <v>28.090974086857273</v>
      </c>
      <c r="M20" s="25">
        <f t="shared" si="2"/>
        <v>14.398702575352115</v>
      </c>
      <c r="N20" s="125">
        <f t="shared" si="3"/>
        <v>6.846135755752579</v>
      </c>
    </row>
    <row r="21" spans="2:14" ht="12.75">
      <c r="B21" s="124"/>
      <c r="C21" s="124" t="str">
        <f t="shared" si="4"/>
        <v>July</v>
      </c>
      <c r="D21" s="125">
        <f t="shared" si="0"/>
        <v>19.09999990463257</v>
      </c>
      <c r="E21" s="131">
        <v>23.5</v>
      </c>
      <c r="F21" s="131">
        <v>14.699999809265137</v>
      </c>
      <c r="G21" s="131">
        <v>9.51999969482422</v>
      </c>
      <c r="H21" s="131">
        <v>99</v>
      </c>
      <c r="I21" s="131">
        <v>22.716773986816406</v>
      </c>
      <c r="J21" s="131">
        <v>3</v>
      </c>
      <c r="K21" s="131">
        <v>0</v>
      </c>
      <c r="L21" s="25">
        <f t="shared" si="1"/>
        <v>28.951750734741324</v>
      </c>
      <c r="M21" s="25">
        <f t="shared" si="2"/>
        <v>16.72534048915564</v>
      </c>
      <c r="N21" s="125">
        <f t="shared" si="3"/>
        <v>6.1132051227928415</v>
      </c>
    </row>
    <row r="22" spans="2:14" ht="12.75">
      <c r="B22" s="124"/>
      <c r="C22" s="124" t="str">
        <f t="shared" si="4"/>
        <v>Aug</v>
      </c>
      <c r="D22" s="125">
        <f t="shared" si="0"/>
        <v>20.200000286102295</v>
      </c>
      <c r="E22" s="131">
        <v>26.100000381469727</v>
      </c>
      <c r="F22" s="131">
        <v>14.300000190734863</v>
      </c>
      <c r="G22" s="131">
        <v>11.280000305175783</v>
      </c>
      <c r="H22" s="131">
        <v>126.30000305175781</v>
      </c>
      <c r="I22" s="131">
        <v>23.383548736572266</v>
      </c>
      <c r="J22" s="131">
        <v>3</v>
      </c>
      <c r="K22" s="131">
        <v>0</v>
      </c>
      <c r="L22" s="25">
        <f t="shared" si="1"/>
        <v>33.80916141263848</v>
      </c>
      <c r="M22" s="25">
        <f t="shared" si="2"/>
        <v>16.298479514731145</v>
      </c>
      <c r="N22" s="125">
        <f t="shared" si="3"/>
        <v>8.755340948953668</v>
      </c>
    </row>
    <row r="23" spans="2:14" ht="12.75">
      <c r="B23" s="124"/>
      <c r="C23" s="124" t="str">
        <f>C11</f>
        <v>Sep</v>
      </c>
      <c r="D23" s="125">
        <f t="shared" si="0"/>
        <v>19.5</v>
      </c>
      <c r="E23" s="131">
        <v>26</v>
      </c>
      <c r="F23" s="131">
        <v>13</v>
      </c>
      <c r="G23" s="131">
        <v>53.52000122070313</v>
      </c>
      <c r="H23" s="131">
        <v>91.9000015258789</v>
      </c>
      <c r="I23" s="131">
        <v>17.21933364868164</v>
      </c>
      <c r="J23" s="131">
        <v>6</v>
      </c>
      <c r="K23" s="131">
        <v>0</v>
      </c>
      <c r="L23" s="25">
        <f t="shared" si="1"/>
        <v>33.6099785805441</v>
      </c>
      <c r="M23" s="25">
        <f t="shared" si="2"/>
        <v>14.976440736620033</v>
      </c>
      <c r="N23" s="125">
        <f t="shared" si="3"/>
        <v>9.316768921962034</v>
      </c>
    </row>
    <row r="24" spans="2:14" ht="12.75">
      <c r="B24" s="124"/>
      <c r="C24" s="124" t="str">
        <f>C12</f>
        <v>Oct</v>
      </c>
      <c r="D24" s="125">
        <f t="shared" si="0"/>
        <v>14.499999523162842</v>
      </c>
      <c r="E24" s="131">
        <v>20.299999237060547</v>
      </c>
      <c r="F24" s="131">
        <v>8.699999809265137</v>
      </c>
      <c r="G24" s="131">
        <v>43.76000061035157</v>
      </c>
      <c r="H24" s="131">
        <v>58.20000076293945</v>
      </c>
      <c r="I24" s="131">
        <v>13.313225746154785</v>
      </c>
      <c r="J24" s="131">
        <v>8</v>
      </c>
      <c r="K24" s="131">
        <v>0</v>
      </c>
      <c r="L24" s="25">
        <f t="shared" si="1"/>
        <v>23.81793523955027</v>
      </c>
      <c r="M24" s="25">
        <f t="shared" si="2"/>
        <v>11.24922859303334</v>
      </c>
      <c r="N24" s="125">
        <f t="shared" si="3"/>
        <v>6.284353323258465</v>
      </c>
    </row>
    <row r="25" spans="2:14" ht="12.75">
      <c r="B25" s="124"/>
      <c r="C25" s="124" t="str">
        <f>C13</f>
        <v>Nov</v>
      </c>
      <c r="D25" s="125">
        <f t="shared" si="0"/>
        <v>12.200000286102295</v>
      </c>
      <c r="E25" s="131">
        <v>17.200000762939453</v>
      </c>
      <c r="F25" s="131">
        <v>7.199999809265137</v>
      </c>
      <c r="G25" s="131">
        <v>130.8</v>
      </c>
      <c r="H25" s="131">
        <v>50.5</v>
      </c>
      <c r="I25" s="131">
        <v>7.915666580200195</v>
      </c>
      <c r="J25" s="131">
        <v>12</v>
      </c>
      <c r="K25" s="131">
        <v>1</v>
      </c>
      <c r="L25" s="25">
        <f t="shared" si="1"/>
        <v>19.62228875979055</v>
      </c>
      <c r="M25" s="25">
        <f t="shared" si="2"/>
        <v>10.156375121689901</v>
      </c>
      <c r="N25" s="125">
        <f t="shared" si="3"/>
        <v>4.732956819050324</v>
      </c>
    </row>
    <row r="26" spans="2:14" ht="12.75">
      <c r="B26" s="124"/>
      <c r="C26" s="124" t="str">
        <f>C14</f>
        <v>Dec</v>
      </c>
      <c r="D26" s="125">
        <f t="shared" si="0"/>
        <v>10.049999713897705</v>
      </c>
      <c r="E26" s="131">
        <v>14.399999618530273</v>
      </c>
      <c r="F26" s="131">
        <v>5.699999809265137</v>
      </c>
      <c r="G26" s="131">
        <v>70.47999877929688</v>
      </c>
      <c r="H26" s="131">
        <v>37.400001525878906</v>
      </c>
      <c r="I26" s="131">
        <v>6.675483703613281</v>
      </c>
      <c r="J26" s="131">
        <v>10</v>
      </c>
      <c r="K26" s="131">
        <v>5</v>
      </c>
      <c r="L26" s="25">
        <f t="shared" si="1"/>
        <v>16.404288266264405</v>
      </c>
      <c r="M26" s="25">
        <f t="shared" si="2"/>
        <v>9.158129348946959</v>
      </c>
      <c r="N26" s="125">
        <f t="shared" si="3"/>
        <v>3.623079458658723</v>
      </c>
    </row>
    <row r="27" spans="2:14" ht="12.75">
      <c r="B27" s="124">
        <f>B15+1</f>
        <v>1983</v>
      </c>
      <c r="C27" s="124" t="s">
        <v>274</v>
      </c>
      <c r="D27" s="125">
        <f t="shared" si="0"/>
        <v>9.250000238418579</v>
      </c>
      <c r="E27" s="131">
        <v>15.600000381469727</v>
      </c>
      <c r="F27" s="131">
        <v>2.9000000953674316</v>
      </c>
      <c r="G27" s="131">
        <v>2.879999923706055</v>
      </c>
      <c r="H27" s="131">
        <v>57.79999923706055</v>
      </c>
      <c r="I27" s="131">
        <v>8.533226013183594</v>
      </c>
      <c r="J27" s="131">
        <v>1</v>
      </c>
      <c r="K27" s="131">
        <v>12</v>
      </c>
      <c r="L27" s="25">
        <f t="shared" si="1"/>
        <v>17.72180161999708</v>
      </c>
      <c r="M27" s="25">
        <f t="shared" si="2"/>
        <v>7.523714673488002</v>
      </c>
      <c r="N27" s="125">
        <f t="shared" si="3"/>
        <v>5.0990434732545395</v>
      </c>
    </row>
    <row r="28" spans="2:14" ht="12.75">
      <c r="B28" s="124"/>
      <c r="C28" s="124" t="s">
        <v>275</v>
      </c>
      <c r="D28" s="125">
        <f t="shared" si="0"/>
        <v>9.399999856948853</v>
      </c>
      <c r="E28" s="131">
        <v>13.899999618530273</v>
      </c>
      <c r="F28" s="131">
        <v>4.900000095367432</v>
      </c>
      <c r="G28" s="131">
        <v>36</v>
      </c>
      <c r="H28" s="131">
        <v>55.70000076293945</v>
      </c>
      <c r="I28" s="131">
        <v>9.112500190734863</v>
      </c>
      <c r="J28" s="131">
        <v>10</v>
      </c>
      <c r="K28" s="131">
        <v>6</v>
      </c>
      <c r="L28" s="25">
        <f t="shared" si="1"/>
        <v>15.881204192558155</v>
      </c>
      <c r="M28" s="25">
        <f t="shared" si="2"/>
        <v>8.66194663460116</v>
      </c>
      <c r="N28" s="125">
        <f t="shared" si="3"/>
        <v>3.6096287789784975</v>
      </c>
    </row>
    <row r="29" spans="2:14" ht="12.75">
      <c r="B29" s="124"/>
      <c r="C29" s="124" t="s">
        <v>265</v>
      </c>
      <c r="D29" s="125">
        <f t="shared" si="0"/>
        <v>13.349999904632568</v>
      </c>
      <c r="E29" s="131">
        <v>19</v>
      </c>
      <c r="F29" s="131">
        <v>7.699999809265137</v>
      </c>
      <c r="G29" s="131">
        <v>5.3599998474121096</v>
      </c>
      <c r="H29" s="131">
        <v>103</v>
      </c>
      <c r="I29" s="131">
        <v>16.26709747314453</v>
      </c>
      <c r="J29" s="131">
        <v>2</v>
      </c>
      <c r="K29" s="131">
        <v>0</v>
      </c>
      <c r="L29" s="25">
        <f t="shared" si="1"/>
        <v>21.971584870456653</v>
      </c>
      <c r="M29" s="25">
        <f t="shared" si="2"/>
        <v>10.509783968828762</v>
      </c>
      <c r="N29" s="125">
        <f t="shared" si="3"/>
        <v>5.730900450813945</v>
      </c>
    </row>
    <row r="30" spans="2:14" ht="12.75">
      <c r="B30" s="124"/>
      <c r="C30" s="124" t="s">
        <v>276</v>
      </c>
      <c r="D30" s="125">
        <f t="shared" si="0"/>
        <v>12.599999904632568</v>
      </c>
      <c r="E30" s="131">
        <v>17.399999618530273</v>
      </c>
      <c r="F30" s="131">
        <v>7.800000190734863</v>
      </c>
      <c r="G30" s="131">
        <v>95.6</v>
      </c>
      <c r="H30" s="131">
        <v>106.19999694824219</v>
      </c>
      <c r="I30" s="131">
        <v>17.1473331451416</v>
      </c>
      <c r="J30" s="131">
        <v>15</v>
      </c>
      <c r="K30" s="131">
        <v>1</v>
      </c>
      <c r="L30" s="25">
        <f t="shared" si="1"/>
        <v>19.871963045186586</v>
      </c>
      <c r="M30" s="25">
        <f t="shared" si="2"/>
        <v>10.581751017917167</v>
      </c>
      <c r="N30" s="125">
        <f t="shared" si="3"/>
        <v>4.6451060136347095</v>
      </c>
    </row>
    <row r="31" spans="2:14" ht="12.75">
      <c r="B31" s="124"/>
      <c r="C31" s="124" t="s">
        <v>277</v>
      </c>
      <c r="D31" s="125">
        <f t="shared" si="0"/>
        <v>13.84999942779541</v>
      </c>
      <c r="E31" s="131">
        <v>18.299999237060547</v>
      </c>
      <c r="F31" s="131">
        <v>9.399999618530273</v>
      </c>
      <c r="G31" s="131">
        <v>74.64000244140625</v>
      </c>
      <c r="H31" s="131">
        <v>81.5</v>
      </c>
      <c r="I31" s="131">
        <v>22.891613006591797</v>
      </c>
      <c r="J31" s="131">
        <v>13</v>
      </c>
      <c r="K31" s="131">
        <v>0</v>
      </c>
      <c r="L31" s="25">
        <f t="shared" si="1"/>
        <v>21.03025541539633</v>
      </c>
      <c r="M31" s="25">
        <f t="shared" si="2"/>
        <v>11.79371328679478</v>
      </c>
      <c r="N31" s="125">
        <f t="shared" si="3"/>
        <v>4.6182710643007745</v>
      </c>
    </row>
    <row r="32" spans="2:14" ht="12.75">
      <c r="B32" s="124"/>
      <c r="C32" s="124" t="s">
        <v>278</v>
      </c>
      <c r="D32" s="125">
        <f t="shared" si="0"/>
        <v>19.299999713897705</v>
      </c>
      <c r="E32" s="131">
        <v>24.799999237060547</v>
      </c>
      <c r="F32" s="131">
        <v>13.800000190734863</v>
      </c>
      <c r="G32" s="131">
        <v>14.560000610351564</v>
      </c>
      <c r="H32" s="131">
        <v>106.80000305175781</v>
      </c>
      <c r="I32" s="131">
        <v>24.21299934387207</v>
      </c>
      <c r="J32" s="131">
        <v>2</v>
      </c>
      <c r="K32" s="131">
        <v>0</v>
      </c>
      <c r="L32" s="25">
        <f t="shared" si="1"/>
        <v>31.298364203109077</v>
      </c>
      <c r="M32" s="25">
        <f t="shared" si="2"/>
        <v>15.778362423757994</v>
      </c>
      <c r="N32" s="125">
        <f t="shared" si="3"/>
        <v>7.760000889675542</v>
      </c>
    </row>
    <row r="33" spans="2:14" ht="12.75">
      <c r="B33" s="124"/>
      <c r="C33" s="124" t="s">
        <v>279</v>
      </c>
      <c r="D33" s="125">
        <f t="shared" si="0"/>
        <v>19.299999713897705</v>
      </c>
      <c r="E33" s="131">
        <v>23.799999237060547</v>
      </c>
      <c r="F33" s="131">
        <v>14.800000190734863</v>
      </c>
      <c r="G33" s="131">
        <v>2.5600000381469727</v>
      </c>
      <c r="H33" s="131">
        <v>89.0999984741211</v>
      </c>
      <c r="I33" s="131">
        <v>22.772903442382812</v>
      </c>
      <c r="J33" s="131">
        <v>1</v>
      </c>
      <c r="K33" s="131">
        <v>0</v>
      </c>
      <c r="L33" s="25">
        <f t="shared" si="1"/>
        <v>29.47918908010422</v>
      </c>
      <c r="M33" s="25">
        <f t="shared" si="2"/>
        <v>16.833575963888826</v>
      </c>
      <c r="N33" s="125">
        <f t="shared" si="3"/>
        <v>6.322806558107697</v>
      </c>
    </row>
    <row r="34" spans="2:14" ht="12.75">
      <c r="B34" s="124"/>
      <c r="C34" s="124" t="s">
        <v>280</v>
      </c>
      <c r="D34" s="125">
        <f t="shared" si="0"/>
        <v>20.09999990463257</v>
      </c>
      <c r="E34" s="131">
        <v>25</v>
      </c>
      <c r="F34" s="131">
        <v>15.199999809265137</v>
      </c>
      <c r="G34" s="131">
        <v>8.640000152587891</v>
      </c>
      <c r="H34" s="131">
        <v>95.19999694824219</v>
      </c>
      <c r="I34" s="131">
        <v>22.954837799072266</v>
      </c>
      <c r="J34" s="131">
        <v>2</v>
      </c>
      <c r="K34" s="131">
        <v>0</v>
      </c>
      <c r="L34" s="25">
        <f t="shared" si="1"/>
        <v>31.673720930966624</v>
      </c>
      <c r="M34" s="25">
        <f t="shared" si="2"/>
        <v>17.272682971981894</v>
      </c>
      <c r="N34" s="125">
        <f t="shared" si="3"/>
        <v>7.200518979492365</v>
      </c>
    </row>
    <row r="35" spans="2:14" ht="12.75">
      <c r="B35" s="124"/>
      <c r="C35" s="124" t="s">
        <v>281</v>
      </c>
      <c r="D35" s="125">
        <f t="shared" si="0"/>
        <v>19.84999942779541</v>
      </c>
      <c r="E35" s="131">
        <v>26.299999237060547</v>
      </c>
      <c r="F35" s="131">
        <v>13.399999618530273</v>
      </c>
      <c r="G35" s="131">
        <v>2</v>
      </c>
      <c r="H35" s="131">
        <v>92.19999694824219</v>
      </c>
      <c r="I35" s="131">
        <v>19.32200050354004</v>
      </c>
      <c r="J35" s="131">
        <v>1</v>
      </c>
      <c r="K35" s="131">
        <v>0</v>
      </c>
      <c r="L35" s="25">
        <f t="shared" si="1"/>
        <v>34.21061135585212</v>
      </c>
      <c r="M35" s="25">
        <f t="shared" si="2"/>
        <v>15.372812437338062</v>
      </c>
      <c r="N35" s="125">
        <f t="shared" si="3"/>
        <v>9.41889945925703</v>
      </c>
    </row>
    <row r="36" spans="2:14" ht="12.75">
      <c r="B36" s="124"/>
      <c r="C36" s="124" t="s">
        <v>282</v>
      </c>
      <c r="D36" s="125">
        <f t="shared" si="0"/>
        <v>16.850000381469727</v>
      </c>
      <c r="E36" s="131">
        <v>23.600000381469727</v>
      </c>
      <c r="F36" s="131">
        <v>10.100000381469727</v>
      </c>
      <c r="G36" s="131">
        <v>15.2</v>
      </c>
      <c r="H36" s="131">
        <v>86.5999984741211</v>
      </c>
      <c r="I36" s="131">
        <v>13.49258041381836</v>
      </c>
      <c r="J36" s="131">
        <v>4</v>
      </c>
      <c r="K36" s="131">
        <v>0</v>
      </c>
      <c r="L36" s="25">
        <f t="shared" si="1"/>
        <v>29.12664203179622</v>
      </c>
      <c r="M36" s="25">
        <f t="shared" si="2"/>
        <v>12.361246101415844</v>
      </c>
      <c r="N36" s="125">
        <f t="shared" si="3"/>
        <v>8.382697965190188</v>
      </c>
    </row>
    <row r="37" spans="2:14" ht="12.75">
      <c r="B37" s="124"/>
      <c r="C37" s="124" t="s">
        <v>283</v>
      </c>
      <c r="D37" s="125">
        <f t="shared" si="0"/>
        <v>15.550000190734863</v>
      </c>
      <c r="E37" s="131">
        <v>19.700000762939453</v>
      </c>
      <c r="F37" s="131">
        <v>11.399999618530273</v>
      </c>
      <c r="G37" s="131">
        <v>126.8</v>
      </c>
      <c r="H37" s="131">
        <v>47.79999923706055</v>
      </c>
      <c r="I37" s="131">
        <v>6.850333213806152</v>
      </c>
      <c r="J37" s="131">
        <v>15</v>
      </c>
      <c r="K37" s="131">
        <v>0</v>
      </c>
      <c r="L37" s="25">
        <f t="shared" si="1"/>
        <v>22.949574018262</v>
      </c>
      <c r="M37" s="25">
        <f t="shared" si="2"/>
        <v>13.479220093946639</v>
      </c>
      <c r="N37" s="125">
        <f t="shared" si="3"/>
        <v>4.73517696215768</v>
      </c>
    </row>
    <row r="38" spans="2:14" ht="12.75">
      <c r="B38" s="124"/>
      <c r="C38" s="124" t="s">
        <v>284</v>
      </c>
      <c r="D38" s="125">
        <f t="shared" si="0"/>
        <v>10.950000286102295</v>
      </c>
      <c r="E38" s="131">
        <v>17.100000381469727</v>
      </c>
      <c r="F38" s="131">
        <v>4.800000190734863</v>
      </c>
      <c r="G38" s="131">
        <v>113.68000488281251</v>
      </c>
      <c r="H38" s="131">
        <v>60.400001525878906</v>
      </c>
      <c r="I38" s="131">
        <v>7.4941935539245605</v>
      </c>
      <c r="J38" s="131">
        <v>10</v>
      </c>
      <c r="K38" s="131">
        <v>6</v>
      </c>
      <c r="L38" s="25">
        <f t="shared" si="1"/>
        <v>19.498483907266383</v>
      </c>
      <c r="M38" s="25">
        <f t="shared" si="2"/>
        <v>8.601622041906449</v>
      </c>
      <c r="N38" s="125">
        <f t="shared" si="3"/>
        <v>5.448430932679967</v>
      </c>
    </row>
    <row r="39" spans="2:14" ht="12.75">
      <c r="B39" s="124">
        <f>B27+1</f>
        <v>1984</v>
      </c>
      <c r="C39" s="124" t="str">
        <f aca="true" t="shared" si="5" ref="C39:C70">C27</f>
        <v>Jan</v>
      </c>
      <c r="D39" s="125">
        <f t="shared" si="0"/>
        <v>9.549999952316284</v>
      </c>
      <c r="E39" s="131">
        <v>14.199999809265137</v>
      </c>
      <c r="F39" s="131">
        <v>4.900000095367432</v>
      </c>
      <c r="G39" s="131">
        <v>76.95999755859376</v>
      </c>
      <c r="H39" s="131">
        <v>40.400001525878906</v>
      </c>
      <c r="I39" s="131">
        <v>7.3532257080078125</v>
      </c>
      <c r="J39" s="131">
        <v>18</v>
      </c>
      <c r="K39" s="131">
        <v>6</v>
      </c>
      <c r="L39" s="25">
        <f t="shared" si="1"/>
        <v>16.19326890763327</v>
      </c>
      <c r="M39" s="25">
        <f t="shared" si="2"/>
        <v>8.66194663460116</v>
      </c>
      <c r="N39" s="125">
        <f t="shared" si="3"/>
        <v>3.765661136516056</v>
      </c>
    </row>
    <row r="40" spans="2:14" ht="12.75">
      <c r="B40" s="124"/>
      <c r="C40" s="124" t="str">
        <f t="shared" si="5"/>
        <v>Feb</v>
      </c>
      <c r="D40" s="125">
        <f t="shared" si="0"/>
        <v>9.00000011920929</v>
      </c>
      <c r="E40" s="131">
        <v>14.800000190734863</v>
      </c>
      <c r="F40" s="131">
        <v>3.200000047683716</v>
      </c>
      <c r="G40" s="131">
        <v>17.439999389648438</v>
      </c>
      <c r="H40" s="131">
        <v>55.099998474121094</v>
      </c>
      <c r="I40" s="131">
        <v>12.610344886779785</v>
      </c>
      <c r="J40" s="131">
        <v>6</v>
      </c>
      <c r="K40" s="131">
        <v>10</v>
      </c>
      <c r="L40" s="25">
        <f t="shared" si="1"/>
        <v>16.833575963888826</v>
      </c>
      <c r="M40" s="25">
        <f t="shared" si="2"/>
        <v>7.685544927628023</v>
      </c>
      <c r="N40" s="125">
        <f t="shared" si="3"/>
        <v>4.574015518130402</v>
      </c>
    </row>
    <row r="41" spans="2:14" ht="12.75">
      <c r="B41" s="124"/>
      <c r="C41" s="124" t="str">
        <f t="shared" si="5"/>
        <v>March</v>
      </c>
      <c r="D41" s="125">
        <f t="shared" si="0"/>
        <v>10.649999856948853</v>
      </c>
      <c r="E41" s="131">
        <v>15.899999618530273</v>
      </c>
      <c r="F41" s="131">
        <v>5.400000095367432</v>
      </c>
      <c r="G41" s="131">
        <v>80.64000244140625</v>
      </c>
      <c r="H41" s="131">
        <v>90.5999984741211</v>
      </c>
      <c r="I41" s="131">
        <v>14.33774185180664</v>
      </c>
      <c r="J41" s="131">
        <v>11</v>
      </c>
      <c r="K41" s="131">
        <v>5</v>
      </c>
      <c r="L41" s="25">
        <f t="shared" si="1"/>
        <v>18.06532479379342</v>
      </c>
      <c r="M41" s="25">
        <f t="shared" si="2"/>
        <v>8.969200691246135</v>
      </c>
      <c r="N41" s="125">
        <f t="shared" si="3"/>
        <v>4.548062051273642</v>
      </c>
    </row>
    <row r="42" spans="2:14" ht="12.75">
      <c r="B42" s="124"/>
      <c r="C42" s="124" t="str">
        <f t="shared" si="5"/>
        <v>April</v>
      </c>
      <c r="D42" s="125">
        <f t="shared" si="0"/>
        <v>15.800000190734863</v>
      </c>
      <c r="E42" s="131">
        <v>20.700000762939453</v>
      </c>
      <c r="F42" s="131">
        <v>10.899999618530273</v>
      </c>
      <c r="G42" s="131">
        <v>44.16000061035157</v>
      </c>
      <c r="H42" s="131">
        <v>69.5</v>
      </c>
      <c r="I42" s="131">
        <v>19.512332916259766</v>
      </c>
      <c r="J42" s="131">
        <v>10</v>
      </c>
      <c r="K42" s="131">
        <v>0</v>
      </c>
      <c r="L42" s="25">
        <f t="shared" si="1"/>
        <v>24.412681633489253</v>
      </c>
      <c r="M42" s="25">
        <f t="shared" si="2"/>
        <v>13.039137567600497</v>
      </c>
      <c r="N42" s="125">
        <f t="shared" si="3"/>
        <v>5.686772032944378</v>
      </c>
    </row>
    <row r="43" spans="2:14" ht="12.75">
      <c r="B43" s="124"/>
      <c r="C43" s="124" t="str">
        <f t="shared" si="5"/>
        <v>May</v>
      </c>
      <c r="D43" s="125">
        <f t="shared" si="0"/>
        <v>13.200000286102295</v>
      </c>
      <c r="E43" s="131">
        <v>17.600000381469727</v>
      </c>
      <c r="F43" s="131">
        <v>8.800000190734863</v>
      </c>
      <c r="G43" s="131">
        <v>76</v>
      </c>
      <c r="H43" s="131">
        <v>79.5</v>
      </c>
      <c r="I43" s="131">
        <v>20.465484619140625</v>
      </c>
      <c r="J43" s="131">
        <v>12</v>
      </c>
      <c r="K43" s="131">
        <v>0</v>
      </c>
      <c r="L43" s="25">
        <f t="shared" si="1"/>
        <v>20.124417318389774</v>
      </c>
      <c r="M43" s="25">
        <f t="shared" si="2"/>
        <v>11.325632099176183</v>
      </c>
      <c r="N43" s="125">
        <f t="shared" si="3"/>
        <v>4.399392609606796</v>
      </c>
    </row>
    <row r="44" spans="2:14" ht="12.75">
      <c r="B44" s="124"/>
      <c r="C44" s="124" t="str">
        <f t="shared" si="5"/>
        <v>June</v>
      </c>
      <c r="D44" s="125">
        <f t="shared" si="0"/>
        <v>18.34999990463257</v>
      </c>
      <c r="E44" s="131">
        <v>22.899999618530273</v>
      </c>
      <c r="F44" s="131">
        <v>13.800000190734863</v>
      </c>
      <c r="G44" s="131">
        <v>47.2</v>
      </c>
      <c r="H44" s="131">
        <v>78.0999984741211</v>
      </c>
      <c r="I44" s="131">
        <v>22.96466636657715</v>
      </c>
      <c r="J44" s="131">
        <v>9</v>
      </c>
      <c r="K44" s="131">
        <v>0</v>
      </c>
      <c r="L44" s="25">
        <f t="shared" si="1"/>
        <v>27.92152518624335</v>
      </c>
      <c r="M44" s="25">
        <f t="shared" si="2"/>
        <v>15.778362423757994</v>
      </c>
      <c r="N44" s="125">
        <f t="shared" si="3"/>
        <v>6.071581381242678</v>
      </c>
    </row>
    <row r="45" spans="2:14" ht="12.75">
      <c r="B45" s="124"/>
      <c r="C45" s="124" t="str">
        <f t="shared" si="5"/>
        <v>July</v>
      </c>
      <c r="D45" s="125">
        <f t="shared" si="0"/>
        <v>19.59999990463257</v>
      </c>
      <c r="E45" s="131">
        <v>24.5</v>
      </c>
      <c r="F45" s="131">
        <v>14.699999809265137</v>
      </c>
      <c r="G45" s="131">
        <v>9.040000152587892</v>
      </c>
      <c r="H45" s="131">
        <v>100.30000305175781</v>
      </c>
      <c r="I45" s="131">
        <v>27.37516212463379</v>
      </c>
      <c r="J45" s="131">
        <v>2</v>
      </c>
      <c r="K45" s="131">
        <v>0</v>
      </c>
      <c r="L45" s="25">
        <f t="shared" si="1"/>
        <v>30.74260663097627</v>
      </c>
      <c r="M45" s="25">
        <f t="shared" si="2"/>
        <v>16.72534048915564</v>
      </c>
      <c r="N45" s="125">
        <f t="shared" si="3"/>
        <v>7.008633070910314</v>
      </c>
    </row>
    <row r="46" spans="2:14" ht="12.75">
      <c r="B46" s="124"/>
      <c r="C46" s="124" t="str">
        <f t="shared" si="5"/>
        <v>Aug</v>
      </c>
      <c r="D46" s="125">
        <f t="shared" si="0"/>
        <v>19.75</v>
      </c>
      <c r="E46" s="131">
        <v>26.100000381469727</v>
      </c>
      <c r="F46" s="131">
        <v>13.399999618530273</v>
      </c>
      <c r="G46" s="131">
        <v>4.879999923706055</v>
      </c>
      <c r="H46" s="131">
        <v>120.30000305175781</v>
      </c>
      <c r="I46" s="131">
        <v>24.675806045532227</v>
      </c>
      <c r="J46" s="131">
        <v>2</v>
      </c>
      <c r="K46" s="131">
        <v>0</v>
      </c>
      <c r="L46" s="25">
        <f t="shared" si="1"/>
        <v>33.80916141263848</v>
      </c>
      <c r="M46" s="25">
        <f t="shared" si="2"/>
        <v>15.372812437338062</v>
      </c>
      <c r="N46" s="125">
        <f t="shared" si="3"/>
        <v>9.21817448765021</v>
      </c>
    </row>
    <row r="47" spans="2:14" ht="12.75">
      <c r="B47" s="124"/>
      <c r="C47" s="124" t="str">
        <f t="shared" si="5"/>
        <v>Sep</v>
      </c>
      <c r="D47" s="125">
        <f t="shared" si="0"/>
        <v>17.699999809265137</v>
      </c>
      <c r="E47" s="131">
        <v>24.299999237060547</v>
      </c>
      <c r="F47" s="131">
        <v>11.100000381469727</v>
      </c>
      <c r="G47" s="131">
        <v>2.2399999618530275</v>
      </c>
      <c r="H47" s="131">
        <v>100.4000015258789</v>
      </c>
      <c r="I47" s="131">
        <v>20.691999435424805</v>
      </c>
      <c r="J47" s="131">
        <v>2</v>
      </c>
      <c r="K47" s="131">
        <v>0</v>
      </c>
      <c r="L47" s="25">
        <f t="shared" si="1"/>
        <v>30.37689914141491</v>
      </c>
      <c r="M47" s="25">
        <f t="shared" si="2"/>
        <v>13.213632150551243</v>
      </c>
      <c r="N47" s="125">
        <f t="shared" si="3"/>
        <v>8.581633495431834</v>
      </c>
    </row>
    <row r="48" spans="2:14" ht="12.75">
      <c r="B48" s="124"/>
      <c r="C48" s="124" t="str">
        <f t="shared" si="5"/>
        <v>Oct</v>
      </c>
      <c r="D48" s="125">
        <f t="shared" si="0"/>
        <v>15.199999809265137</v>
      </c>
      <c r="E48" s="131">
        <v>21.299999237060547</v>
      </c>
      <c r="F48" s="131">
        <v>9.100000381469727</v>
      </c>
      <c r="G48" s="131">
        <v>58.720001220703125</v>
      </c>
      <c r="H48" s="131">
        <v>64.5999984741211</v>
      </c>
      <c r="I48" s="131">
        <v>13.555161476135254</v>
      </c>
      <c r="J48" s="131">
        <v>9</v>
      </c>
      <c r="K48" s="131">
        <v>0</v>
      </c>
      <c r="L48" s="25">
        <f t="shared" si="1"/>
        <v>25.329132796778833</v>
      </c>
      <c r="M48" s="25">
        <f t="shared" si="2"/>
        <v>11.557588529951161</v>
      </c>
      <c r="N48" s="125">
        <f t="shared" si="3"/>
        <v>6.885772133413836</v>
      </c>
    </row>
    <row r="49" spans="2:14" ht="12.75">
      <c r="B49" s="124"/>
      <c r="C49" s="124" t="str">
        <f t="shared" si="5"/>
        <v>Nov</v>
      </c>
      <c r="D49" s="125">
        <f t="shared" si="0"/>
        <v>13.149999618530273</v>
      </c>
      <c r="E49" s="131">
        <v>17.299999237060547</v>
      </c>
      <c r="F49" s="131">
        <v>9</v>
      </c>
      <c r="G49" s="131">
        <v>133.9199951171875</v>
      </c>
      <c r="H49" s="131">
        <v>55</v>
      </c>
      <c r="I49" s="131">
        <v>7.357666492462158</v>
      </c>
      <c r="J49" s="131">
        <v>15</v>
      </c>
      <c r="K49" s="131">
        <v>0</v>
      </c>
      <c r="L49" s="25">
        <f t="shared" si="1"/>
        <v>19.74677914314186</v>
      </c>
      <c r="M49" s="25">
        <f t="shared" si="2"/>
        <v>11.479809370392651</v>
      </c>
      <c r="N49" s="125">
        <f t="shared" si="3"/>
        <v>4.133484886374605</v>
      </c>
    </row>
    <row r="50" spans="2:14" ht="12.75">
      <c r="B50" s="124"/>
      <c r="C50" s="124" t="str">
        <f t="shared" si="5"/>
        <v>Dec</v>
      </c>
      <c r="D50" s="125">
        <f t="shared" si="0"/>
        <v>11.150000095367432</v>
      </c>
      <c r="E50" s="131">
        <v>15.600000381469727</v>
      </c>
      <c r="F50" s="131">
        <v>6.699999809265137</v>
      </c>
      <c r="G50" s="131">
        <v>62.07999877929688</v>
      </c>
      <c r="H50" s="131">
        <v>58.70000076293945</v>
      </c>
      <c r="I50" s="131">
        <v>7.032580852508545</v>
      </c>
      <c r="J50" s="131">
        <v>12</v>
      </c>
      <c r="K50" s="131">
        <v>4</v>
      </c>
      <c r="L50" s="25">
        <f t="shared" si="1"/>
        <v>17.72180161999708</v>
      </c>
      <c r="M50" s="25">
        <f t="shared" si="2"/>
        <v>9.813474436884212</v>
      </c>
      <c r="N50" s="125">
        <f t="shared" si="3"/>
        <v>3.9541635915564344</v>
      </c>
    </row>
    <row r="51" spans="2:14" ht="12.75">
      <c r="B51" s="124">
        <f>B39+1</f>
        <v>1985</v>
      </c>
      <c r="C51" s="124" t="str">
        <f t="shared" si="5"/>
        <v>Jan</v>
      </c>
      <c r="D51" s="125">
        <f t="shared" si="0"/>
        <v>8.00000011920929</v>
      </c>
      <c r="E51" s="131">
        <v>13.800000190734863</v>
      </c>
      <c r="F51" s="131">
        <v>2.200000047683716</v>
      </c>
      <c r="G51" s="131">
        <v>111.2</v>
      </c>
      <c r="H51" s="131">
        <v>44.400001525878906</v>
      </c>
      <c r="I51" s="131">
        <v>7.744515895843506</v>
      </c>
      <c r="J51" s="131">
        <v>11</v>
      </c>
      <c r="K51" s="131">
        <v>12</v>
      </c>
      <c r="L51" s="25">
        <f t="shared" si="1"/>
        <v>15.778362423757994</v>
      </c>
      <c r="M51" s="25">
        <f t="shared" si="2"/>
        <v>7.157754334745817</v>
      </c>
      <c r="N51" s="125">
        <f t="shared" si="3"/>
        <v>4.310304044506088</v>
      </c>
    </row>
    <row r="52" spans="2:14" ht="12.75">
      <c r="B52" s="124"/>
      <c r="C52" s="124" t="str">
        <f t="shared" si="5"/>
        <v>Feb</v>
      </c>
      <c r="D52" s="125">
        <f t="shared" si="0"/>
        <v>12.700000286102295</v>
      </c>
      <c r="E52" s="131">
        <v>16.600000381469727</v>
      </c>
      <c r="F52" s="131">
        <v>8.800000190734863</v>
      </c>
      <c r="G52" s="131">
        <v>141.1199951171875</v>
      </c>
      <c r="H52" s="131">
        <v>69.9000015258789</v>
      </c>
      <c r="I52" s="131">
        <v>8.148214340209961</v>
      </c>
      <c r="J52" s="131">
        <v>15</v>
      </c>
      <c r="K52" s="131">
        <v>0</v>
      </c>
      <c r="L52" s="25">
        <f t="shared" si="1"/>
        <v>18.889668103409804</v>
      </c>
      <c r="M52" s="25">
        <f t="shared" si="2"/>
        <v>11.325632099176183</v>
      </c>
      <c r="N52" s="125">
        <f t="shared" si="3"/>
        <v>3.7820180021168106</v>
      </c>
    </row>
    <row r="53" spans="2:14" ht="12.75">
      <c r="B53" s="124"/>
      <c r="C53" s="124" t="str">
        <f t="shared" si="5"/>
        <v>March</v>
      </c>
      <c r="D53" s="125">
        <f t="shared" si="0"/>
        <v>10.649999856948853</v>
      </c>
      <c r="E53" s="131">
        <v>16.399999618530273</v>
      </c>
      <c r="F53" s="131">
        <v>4.900000095367432</v>
      </c>
      <c r="G53" s="131">
        <v>42.320001220703126</v>
      </c>
      <c r="H53" s="131">
        <v>74.80000305175781</v>
      </c>
      <c r="I53" s="131">
        <v>17.111934661865234</v>
      </c>
      <c r="J53" s="131">
        <v>9</v>
      </c>
      <c r="K53" s="131">
        <v>2</v>
      </c>
      <c r="L53" s="25">
        <f t="shared" si="1"/>
        <v>18.650844221860588</v>
      </c>
      <c r="M53" s="25">
        <f t="shared" si="2"/>
        <v>8.66194663460116</v>
      </c>
      <c r="N53" s="125">
        <f t="shared" si="3"/>
        <v>4.994448793629714</v>
      </c>
    </row>
    <row r="54" spans="2:14" ht="12.75">
      <c r="B54" s="124"/>
      <c r="C54" s="124" t="str">
        <f t="shared" si="5"/>
        <v>April</v>
      </c>
      <c r="D54" s="125">
        <f t="shared" si="0"/>
        <v>13.999999523162842</v>
      </c>
      <c r="E54" s="131">
        <v>19.299999237060547</v>
      </c>
      <c r="F54" s="131">
        <v>8.699999809265137</v>
      </c>
      <c r="G54" s="131">
        <v>78.64000244140625</v>
      </c>
      <c r="H54" s="131">
        <v>76.5</v>
      </c>
      <c r="I54" s="131">
        <v>18.99333381652832</v>
      </c>
      <c r="J54" s="131">
        <v>13</v>
      </c>
      <c r="K54" s="131">
        <v>0</v>
      </c>
      <c r="L54" s="25">
        <f t="shared" si="1"/>
        <v>22.386163269439102</v>
      </c>
      <c r="M54" s="25">
        <f t="shared" si="2"/>
        <v>11.24922859303334</v>
      </c>
      <c r="N54" s="125">
        <f t="shared" si="3"/>
        <v>5.568467338202881</v>
      </c>
    </row>
    <row r="55" spans="2:14" ht="12.75">
      <c r="B55" s="124"/>
      <c r="C55" s="124" t="str">
        <f t="shared" si="5"/>
        <v>May</v>
      </c>
      <c r="D55" s="125">
        <f t="shared" si="0"/>
        <v>14.25</v>
      </c>
      <c r="E55" s="131">
        <v>19.399999618530273</v>
      </c>
      <c r="F55" s="131">
        <v>9.100000381469727</v>
      </c>
      <c r="G55" s="131">
        <v>57.840002441406256</v>
      </c>
      <c r="H55" s="131">
        <v>83.80000305175781</v>
      </c>
      <c r="I55" s="131">
        <v>20.76935577392578</v>
      </c>
      <c r="J55" s="131">
        <v>8</v>
      </c>
      <c r="K55" s="131">
        <v>0</v>
      </c>
      <c r="L55" s="25">
        <f t="shared" si="1"/>
        <v>22.525869372969083</v>
      </c>
      <c r="M55" s="25">
        <f t="shared" si="2"/>
        <v>11.557588529951161</v>
      </c>
      <c r="N55" s="125">
        <f t="shared" si="3"/>
        <v>5.484140421508961</v>
      </c>
    </row>
    <row r="56" spans="2:14" ht="12.75">
      <c r="B56" s="124"/>
      <c r="C56" s="124" t="str">
        <f t="shared" si="5"/>
        <v>June</v>
      </c>
      <c r="D56" s="125">
        <f t="shared" si="0"/>
        <v>18.049999713897705</v>
      </c>
      <c r="E56" s="131">
        <v>22.899999618530273</v>
      </c>
      <c r="F56" s="131">
        <v>13.199999809265137</v>
      </c>
      <c r="G56" s="131">
        <v>8</v>
      </c>
      <c r="H56" s="131">
        <v>80.9000015258789</v>
      </c>
      <c r="I56" s="131">
        <v>25.790000915527344</v>
      </c>
      <c r="J56" s="131">
        <v>4</v>
      </c>
      <c r="K56" s="131">
        <v>0</v>
      </c>
      <c r="L56" s="25">
        <f t="shared" si="1"/>
        <v>27.92152518624335</v>
      </c>
      <c r="M56" s="25">
        <f t="shared" si="2"/>
        <v>15.173490572440487</v>
      </c>
      <c r="N56" s="125">
        <f t="shared" si="3"/>
        <v>6.374017306901432</v>
      </c>
    </row>
    <row r="57" spans="2:14" ht="12.75">
      <c r="B57" s="124"/>
      <c r="C57" s="124" t="str">
        <f t="shared" si="5"/>
        <v>July</v>
      </c>
      <c r="D57" s="125">
        <f t="shared" si="0"/>
        <v>20.249999523162842</v>
      </c>
      <c r="E57" s="131">
        <v>25.299999237060547</v>
      </c>
      <c r="F57" s="131">
        <v>15.199999809265137</v>
      </c>
      <c r="G57" s="131">
        <v>3.6</v>
      </c>
      <c r="H57" s="131">
        <v>102.80000305175781</v>
      </c>
      <c r="I57" s="131">
        <v>26.794193267822266</v>
      </c>
      <c r="J57" s="131">
        <v>2</v>
      </c>
      <c r="K57" s="131">
        <v>0</v>
      </c>
      <c r="L57" s="25">
        <f t="shared" si="1"/>
        <v>32.244111824970304</v>
      </c>
      <c r="M57" s="25">
        <f t="shared" si="2"/>
        <v>17.272682971981894</v>
      </c>
      <c r="N57" s="125">
        <f t="shared" si="3"/>
        <v>7.485714426494205</v>
      </c>
    </row>
    <row r="58" spans="2:14" ht="12.75">
      <c r="B58" s="124"/>
      <c r="C58" s="124" t="str">
        <f t="shared" si="5"/>
        <v>Aug</v>
      </c>
      <c r="D58" s="125">
        <f t="shared" si="0"/>
        <v>19.399999618530273</v>
      </c>
      <c r="E58" s="131">
        <v>25.399999618530273</v>
      </c>
      <c r="F58" s="131">
        <v>13.399999618530273</v>
      </c>
      <c r="G58" s="131">
        <v>0</v>
      </c>
      <c r="H58" s="131">
        <v>123.0999984741211</v>
      </c>
      <c r="I58" s="131">
        <v>26.372581481933594</v>
      </c>
      <c r="J58" s="131">
        <v>0</v>
      </c>
      <c r="K58" s="131">
        <v>0</v>
      </c>
      <c r="L58" s="25">
        <f t="shared" si="1"/>
        <v>32.436223066589996</v>
      </c>
      <c r="M58" s="25">
        <f t="shared" si="2"/>
        <v>15.372812437338062</v>
      </c>
      <c r="N58" s="125">
        <f t="shared" si="3"/>
        <v>8.531705314625967</v>
      </c>
    </row>
    <row r="59" spans="2:14" ht="12.75">
      <c r="B59" s="124"/>
      <c r="C59" s="124" t="str">
        <f t="shared" si="5"/>
        <v>Sep</v>
      </c>
      <c r="D59" s="125">
        <f t="shared" si="0"/>
        <v>21.59999942779541</v>
      </c>
      <c r="E59" s="131">
        <v>28.299999237060547</v>
      </c>
      <c r="F59" s="131">
        <v>14.899999618530273</v>
      </c>
      <c r="G59" s="131">
        <v>16.160000610351563</v>
      </c>
      <c r="H59" s="131">
        <v>98</v>
      </c>
      <c r="I59" s="131">
        <v>18.304332733154297</v>
      </c>
      <c r="J59" s="131">
        <v>5</v>
      </c>
      <c r="K59" s="131">
        <v>0</v>
      </c>
      <c r="L59" s="25">
        <f t="shared" si="1"/>
        <v>38.459254437876496</v>
      </c>
      <c r="M59" s="25">
        <f t="shared" si="2"/>
        <v>16.942424159353404</v>
      </c>
      <c r="N59" s="125">
        <f t="shared" si="3"/>
        <v>10.758415139261546</v>
      </c>
    </row>
    <row r="60" spans="2:14" ht="12.75">
      <c r="B60" s="124"/>
      <c r="C60" s="124" t="str">
        <f t="shared" si="5"/>
        <v>Oct</v>
      </c>
      <c r="D60" s="125">
        <f t="shared" si="0"/>
        <v>17.299999713897705</v>
      </c>
      <c r="E60" s="131">
        <v>24.399999618530273</v>
      </c>
      <c r="F60" s="131">
        <v>10.199999809265137</v>
      </c>
      <c r="G60" s="131">
        <v>9.2</v>
      </c>
      <c r="H60" s="131">
        <v>94.5</v>
      </c>
      <c r="I60" s="131">
        <v>15.205483436584473</v>
      </c>
      <c r="J60" s="131">
        <v>2</v>
      </c>
      <c r="K60" s="131">
        <v>0</v>
      </c>
      <c r="L60" s="25">
        <f t="shared" si="1"/>
        <v>30.55927570165435</v>
      </c>
      <c r="M60" s="25">
        <f t="shared" si="2"/>
        <v>12.444251026568743</v>
      </c>
      <c r="N60" s="125">
        <f t="shared" si="3"/>
        <v>9.057512337542803</v>
      </c>
    </row>
    <row r="61" spans="2:14" ht="12.75">
      <c r="B61" s="124"/>
      <c r="C61" s="124" t="str">
        <f t="shared" si="5"/>
        <v>Nov</v>
      </c>
      <c r="D61" s="125">
        <f t="shared" si="0"/>
        <v>12.200000286102295</v>
      </c>
      <c r="E61" s="131">
        <v>17.100000381469727</v>
      </c>
      <c r="F61" s="131">
        <v>7.300000190734863</v>
      </c>
      <c r="G61" s="131">
        <v>110</v>
      </c>
      <c r="H61" s="131">
        <v>53.5</v>
      </c>
      <c r="I61" s="131">
        <v>8.1676664352417</v>
      </c>
      <c r="J61" s="131">
        <v>11</v>
      </c>
      <c r="K61" s="131">
        <v>3</v>
      </c>
      <c r="L61" s="25">
        <f t="shared" si="1"/>
        <v>19.498483907266383</v>
      </c>
      <c r="M61" s="25">
        <f t="shared" si="2"/>
        <v>10.226207814872636</v>
      </c>
      <c r="N61" s="125">
        <f t="shared" si="3"/>
        <v>4.636138046196874</v>
      </c>
    </row>
    <row r="62" spans="2:14" ht="12.75">
      <c r="B62" s="124"/>
      <c r="C62" s="124" t="str">
        <f t="shared" si="5"/>
        <v>Dec</v>
      </c>
      <c r="D62" s="125">
        <f t="shared" si="0"/>
        <v>10.799999713897705</v>
      </c>
      <c r="E62" s="131">
        <v>15.899999618530273</v>
      </c>
      <c r="F62" s="131">
        <v>5.699999809265137</v>
      </c>
      <c r="G62" s="131">
        <v>97.92000122070313</v>
      </c>
      <c r="H62" s="131">
        <v>63.599998474121094</v>
      </c>
      <c r="I62" s="131">
        <v>6.930644989013672</v>
      </c>
      <c r="J62" s="131">
        <v>13</v>
      </c>
      <c r="K62" s="131">
        <v>5</v>
      </c>
      <c r="L62" s="25">
        <f t="shared" si="1"/>
        <v>18.06532479379342</v>
      </c>
      <c r="M62" s="25">
        <f t="shared" si="2"/>
        <v>9.158129348946959</v>
      </c>
      <c r="N62" s="125">
        <f t="shared" si="3"/>
        <v>4.45359772242323</v>
      </c>
    </row>
    <row r="63" spans="2:14" ht="12.75">
      <c r="B63" s="124">
        <f>B51+1</f>
        <v>1986</v>
      </c>
      <c r="C63" s="124" t="str">
        <f t="shared" si="5"/>
        <v>Jan</v>
      </c>
      <c r="D63" s="125">
        <f t="shared" si="0"/>
        <v>9.600000143051147</v>
      </c>
      <c r="E63" s="131">
        <v>14.300000190734863</v>
      </c>
      <c r="F63" s="131">
        <v>4.900000095367432</v>
      </c>
      <c r="G63" s="131">
        <v>100.07999877929689</v>
      </c>
      <c r="H63" s="131">
        <v>45</v>
      </c>
      <c r="I63" s="131">
        <v>8.22870922088623</v>
      </c>
      <c r="J63" s="131">
        <v>11</v>
      </c>
      <c r="K63" s="131">
        <v>4</v>
      </c>
      <c r="L63" s="25">
        <f t="shared" si="1"/>
        <v>16.298479514731145</v>
      </c>
      <c r="M63" s="25">
        <f t="shared" si="2"/>
        <v>8.66194663460116</v>
      </c>
      <c r="N63" s="125">
        <f t="shared" si="3"/>
        <v>3.818266440064993</v>
      </c>
    </row>
    <row r="64" spans="2:14" ht="12.75">
      <c r="B64" s="124"/>
      <c r="C64" s="124" t="str">
        <f t="shared" si="5"/>
        <v>Feb</v>
      </c>
      <c r="D64" s="125">
        <f t="shared" si="0"/>
        <v>10.449999809265137</v>
      </c>
      <c r="E64" s="131">
        <v>14.199999809265137</v>
      </c>
      <c r="F64" s="131">
        <v>6.699999809265137</v>
      </c>
      <c r="G64" s="131">
        <v>163.04000244140627</v>
      </c>
      <c r="H64" s="131">
        <v>36.099998474121094</v>
      </c>
      <c r="I64" s="131">
        <v>8.635714530944824</v>
      </c>
      <c r="J64" s="131">
        <v>22</v>
      </c>
      <c r="K64" s="131">
        <v>2</v>
      </c>
      <c r="L64" s="25">
        <f t="shared" si="1"/>
        <v>16.19326890763327</v>
      </c>
      <c r="M64" s="25">
        <f t="shared" si="2"/>
        <v>9.813474436884212</v>
      </c>
      <c r="N64" s="125">
        <f t="shared" si="3"/>
        <v>3.18989723537453</v>
      </c>
    </row>
    <row r="65" spans="2:14" ht="12.75">
      <c r="B65" s="124"/>
      <c r="C65" s="124" t="str">
        <f t="shared" si="5"/>
        <v>March</v>
      </c>
      <c r="D65" s="125">
        <f t="shared" si="0"/>
        <v>10.900000095367432</v>
      </c>
      <c r="E65" s="131">
        <v>16</v>
      </c>
      <c r="F65" s="131">
        <v>5.800000190734863</v>
      </c>
      <c r="G65" s="131">
        <v>33.120001220703124</v>
      </c>
      <c r="H65" s="131">
        <v>60.29999923706055</v>
      </c>
      <c r="I65" s="131">
        <v>16.548709869384766</v>
      </c>
      <c r="J65" s="131">
        <v>9</v>
      </c>
      <c r="K65" s="131">
        <v>0</v>
      </c>
      <c r="L65" s="25">
        <f t="shared" si="1"/>
        <v>18.181122957281406</v>
      </c>
      <c r="M65" s="25">
        <f t="shared" si="2"/>
        <v>9.22188069501885</v>
      </c>
      <c r="N65" s="125">
        <f t="shared" si="3"/>
        <v>4.479621131131278</v>
      </c>
    </row>
    <row r="66" spans="2:14" ht="12.75">
      <c r="B66" s="124"/>
      <c r="C66" s="124" t="str">
        <f t="shared" si="5"/>
        <v>April</v>
      </c>
      <c r="D66" s="125">
        <f t="shared" si="0"/>
        <v>10.599999904632568</v>
      </c>
      <c r="E66" s="131">
        <v>15.5</v>
      </c>
      <c r="F66" s="131">
        <v>5.699999809265137</v>
      </c>
      <c r="G66" s="131">
        <v>67.2</v>
      </c>
      <c r="H66" s="131">
        <v>70.5</v>
      </c>
      <c r="I66" s="131">
        <v>19.116666793823242</v>
      </c>
      <c r="J66" s="131">
        <v>12</v>
      </c>
      <c r="K66" s="131">
        <v>1</v>
      </c>
      <c r="L66" s="25">
        <f t="shared" si="1"/>
        <v>17.60857268023594</v>
      </c>
      <c r="M66" s="25">
        <f t="shared" si="2"/>
        <v>9.158129348946959</v>
      </c>
      <c r="N66" s="125">
        <f t="shared" si="3"/>
        <v>4.225221665644491</v>
      </c>
    </row>
    <row r="67" spans="2:14" ht="12.75">
      <c r="B67" s="124"/>
      <c r="C67" s="124" t="str">
        <f t="shared" si="5"/>
        <v>May</v>
      </c>
      <c r="D67" s="125">
        <f aca="true" t="shared" si="6" ref="D67:D130">(E67+F67)/2</f>
        <v>15.849999904632568</v>
      </c>
      <c r="E67" s="131">
        <v>20.899999618530273</v>
      </c>
      <c r="F67" s="131">
        <v>10.800000190734863</v>
      </c>
      <c r="G67" s="131">
        <v>14</v>
      </c>
      <c r="H67" s="131">
        <v>50.599998474121094</v>
      </c>
      <c r="I67" s="131">
        <v>25.50064468383789</v>
      </c>
      <c r="J67" s="131">
        <v>2</v>
      </c>
      <c r="K67" s="131">
        <v>0</v>
      </c>
      <c r="L67" s="25">
        <f t="shared" si="1"/>
        <v>24.714889883870146</v>
      </c>
      <c r="M67" s="25">
        <f t="shared" si="2"/>
        <v>12.952653023084384</v>
      </c>
      <c r="N67" s="125">
        <f t="shared" si="3"/>
        <v>5.881118430392881</v>
      </c>
    </row>
    <row r="68" spans="2:14" ht="12.75">
      <c r="B68" s="124"/>
      <c r="C68" s="124" t="str">
        <f t="shared" si="5"/>
        <v>June</v>
      </c>
      <c r="D68" s="125">
        <f t="shared" si="6"/>
        <v>17.699999809265137</v>
      </c>
      <c r="E68" s="131">
        <v>24.299999237060547</v>
      </c>
      <c r="F68" s="131">
        <v>11.100000381469727</v>
      </c>
      <c r="G68" s="131">
        <v>9.6</v>
      </c>
      <c r="H68" s="131">
        <v>114.4000015258789</v>
      </c>
      <c r="I68" s="131">
        <v>28.410667419433594</v>
      </c>
      <c r="J68" s="131">
        <v>2</v>
      </c>
      <c r="K68" s="131">
        <v>0</v>
      </c>
      <c r="L68" s="25">
        <f aca="true" t="shared" si="7" ref="L68:L131">6.1078*EXP(17.269*E68/(237.3+E68))</f>
        <v>30.37689914141491</v>
      </c>
      <c r="M68" s="25">
        <f aca="true" t="shared" si="8" ref="M68:M131">6.1078*EXP(17.269*F68/(237.3+F68))</f>
        <v>13.213632150551243</v>
      </c>
      <c r="N68" s="125">
        <f aca="true" t="shared" si="9" ref="N68:N131">(L68-M68)/2</f>
        <v>8.581633495431834</v>
      </c>
    </row>
    <row r="69" spans="2:14" ht="12.75">
      <c r="B69" s="124"/>
      <c r="C69" s="124" t="str">
        <f t="shared" si="5"/>
        <v>July</v>
      </c>
      <c r="D69" s="125">
        <f t="shared" si="6"/>
        <v>20.649999618530273</v>
      </c>
      <c r="E69" s="131">
        <v>26.299999237060547</v>
      </c>
      <c r="F69" s="131">
        <v>15</v>
      </c>
      <c r="G69" s="131">
        <v>0</v>
      </c>
      <c r="H69" s="131">
        <v>118.4000015258789</v>
      </c>
      <c r="I69" s="131">
        <v>27.90258026123047</v>
      </c>
      <c r="J69" s="131">
        <v>0</v>
      </c>
      <c r="K69" s="131">
        <v>0</v>
      </c>
      <c r="L69" s="25">
        <f t="shared" si="7"/>
        <v>34.21061135585212</v>
      </c>
      <c r="M69" s="25">
        <f t="shared" si="8"/>
        <v>17.05189010686335</v>
      </c>
      <c r="N69" s="125">
        <f t="shared" si="9"/>
        <v>8.579360624494386</v>
      </c>
    </row>
    <row r="70" spans="2:14" ht="12.75">
      <c r="B70" s="124"/>
      <c r="C70" s="124" t="str">
        <f t="shared" si="5"/>
        <v>Aug</v>
      </c>
      <c r="D70" s="125">
        <f t="shared" si="6"/>
        <v>18.850000381469727</v>
      </c>
      <c r="E70" s="131">
        <v>24.600000381469727</v>
      </c>
      <c r="F70" s="131">
        <v>13.100000381469727</v>
      </c>
      <c r="G70" s="131">
        <v>3.3599998474121096</v>
      </c>
      <c r="H70" s="131">
        <v>103.69999694824219</v>
      </c>
      <c r="I70" s="131">
        <v>24.709999084472656</v>
      </c>
      <c r="J70" s="131">
        <v>2</v>
      </c>
      <c r="K70" s="131">
        <v>0</v>
      </c>
      <c r="L70" s="25">
        <f t="shared" si="7"/>
        <v>30.926896135105537</v>
      </c>
      <c r="M70" s="25">
        <f t="shared" si="8"/>
        <v>15.074683504735056</v>
      </c>
      <c r="N70" s="125">
        <f t="shared" si="9"/>
        <v>7.9261063151852404</v>
      </c>
    </row>
    <row r="71" spans="2:14" ht="12.75">
      <c r="B71" s="124"/>
      <c r="C71" s="124" t="str">
        <f aca="true" t="shared" si="10" ref="C71:C102">C59</f>
        <v>Sep</v>
      </c>
      <c r="D71" s="125">
        <f t="shared" si="6"/>
        <v>20.40000009536743</v>
      </c>
      <c r="E71" s="131">
        <v>25</v>
      </c>
      <c r="F71" s="131">
        <v>15.800000190734863</v>
      </c>
      <c r="G71" s="131">
        <v>73.04000244140626</v>
      </c>
      <c r="H71" s="131">
        <v>78.9000015258789</v>
      </c>
      <c r="I71" s="131">
        <v>16.840333938598633</v>
      </c>
      <c r="J71" s="131">
        <v>7</v>
      </c>
      <c r="K71" s="131">
        <v>0</v>
      </c>
      <c r="L71" s="25">
        <f t="shared" si="7"/>
        <v>31.673720930966624</v>
      </c>
      <c r="M71" s="25">
        <f t="shared" si="8"/>
        <v>17.950174629365215</v>
      </c>
      <c r="N71" s="125">
        <f t="shared" si="9"/>
        <v>6.861773150800705</v>
      </c>
    </row>
    <row r="72" spans="2:14" ht="12.75">
      <c r="B72" s="124"/>
      <c r="C72" s="124" t="str">
        <f t="shared" si="10"/>
        <v>Oct</v>
      </c>
      <c r="D72" s="125">
        <f t="shared" si="6"/>
        <v>16.949999809265137</v>
      </c>
      <c r="E72" s="131">
        <v>21.799999237060547</v>
      </c>
      <c r="F72" s="131">
        <v>12.100000381469727</v>
      </c>
      <c r="G72" s="131">
        <v>28.320001220703126</v>
      </c>
      <c r="H72" s="131">
        <v>51.599998474121094</v>
      </c>
      <c r="I72" s="131">
        <v>13.883225440979004</v>
      </c>
      <c r="J72" s="131">
        <v>6</v>
      </c>
      <c r="K72" s="131">
        <v>0</v>
      </c>
      <c r="L72" s="25">
        <f t="shared" si="7"/>
        <v>26.11566521908016</v>
      </c>
      <c r="M72" s="25">
        <f t="shared" si="8"/>
        <v>14.117244452811459</v>
      </c>
      <c r="N72" s="125">
        <f t="shared" si="9"/>
        <v>5.999210383134351</v>
      </c>
    </row>
    <row r="73" spans="2:14" ht="12.75">
      <c r="B73" s="124"/>
      <c r="C73" s="124" t="str">
        <f t="shared" si="10"/>
        <v>Nov</v>
      </c>
      <c r="D73" s="125">
        <f t="shared" si="6"/>
        <v>11.599999904632568</v>
      </c>
      <c r="E73" s="131">
        <v>17.5</v>
      </c>
      <c r="F73" s="131">
        <v>5.699999809265137</v>
      </c>
      <c r="G73" s="131">
        <v>82.55999755859375</v>
      </c>
      <c r="H73" s="131">
        <v>36.099998474121094</v>
      </c>
      <c r="I73" s="131">
        <v>9.593999862670898</v>
      </c>
      <c r="J73" s="131">
        <v>8</v>
      </c>
      <c r="K73" s="131">
        <v>0</v>
      </c>
      <c r="L73" s="25">
        <f t="shared" si="7"/>
        <v>19.99784134913516</v>
      </c>
      <c r="M73" s="25">
        <f t="shared" si="8"/>
        <v>9.158129348946959</v>
      </c>
      <c r="N73" s="125">
        <f t="shared" si="9"/>
        <v>5.419856000094101</v>
      </c>
    </row>
    <row r="74" spans="2:14" ht="12.75">
      <c r="B74" s="124"/>
      <c r="C74" s="124" t="str">
        <f t="shared" si="10"/>
        <v>Dec</v>
      </c>
      <c r="D74" s="125">
        <f t="shared" si="6"/>
        <v>10.149999856948853</v>
      </c>
      <c r="E74" s="131">
        <v>15.199999809265137</v>
      </c>
      <c r="F74" s="131">
        <v>5.099999904632568</v>
      </c>
      <c r="G74" s="131">
        <v>60</v>
      </c>
      <c r="H74" s="131">
        <v>54.900001525878906</v>
      </c>
      <c r="I74" s="131">
        <v>7.035806655883789</v>
      </c>
      <c r="J74" s="131">
        <v>9</v>
      </c>
      <c r="K74" s="131">
        <v>7</v>
      </c>
      <c r="L74" s="25">
        <f t="shared" si="7"/>
        <v>17.272682971981894</v>
      </c>
      <c r="M74" s="25">
        <f t="shared" si="8"/>
        <v>8.783716037648261</v>
      </c>
      <c r="N74" s="125">
        <f t="shared" si="9"/>
        <v>4.244483467166816</v>
      </c>
    </row>
    <row r="75" spans="2:14" ht="12.75">
      <c r="B75" s="124">
        <f>B63+1</f>
        <v>1987</v>
      </c>
      <c r="C75" s="124" t="str">
        <f t="shared" si="10"/>
        <v>Jan</v>
      </c>
      <c r="D75" s="125">
        <f t="shared" si="6"/>
        <v>9.650000095367432</v>
      </c>
      <c r="E75" s="131">
        <v>14.800000190734863</v>
      </c>
      <c r="F75" s="131">
        <v>4.5</v>
      </c>
      <c r="G75" s="131">
        <v>90.32000122070313</v>
      </c>
      <c r="H75" s="131">
        <v>70.5999984741211</v>
      </c>
      <c r="I75" s="131">
        <v>7.219032287597656</v>
      </c>
      <c r="J75" s="131">
        <v>13</v>
      </c>
      <c r="K75" s="131">
        <v>8</v>
      </c>
      <c r="L75" s="25">
        <f t="shared" si="7"/>
        <v>16.833575963888826</v>
      </c>
      <c r="M75" s="25">
        <f t="shared" si="8"/>
        <v>8.422864881293139</v>
      </c>
      <c r="N75" s="125">
        <f t="shared" si="9"/>
        <v>4.205355541297844</v>
      </c>
    </row>
    <row r="76" spans="2:14" ht="12.75">
      <c r="B76" s="124"/>
      <c r="C76" s="124" t="str">
        <f t="shared" si="10"/>
        <v>Feb</v>
      </c>
      <c r="D76" s="125">
        <f t="shared" si="6"/>
        <v>10.599999904632568</v>
      </c>
      <c r="E76" s="131">
        <v>15.199999809265137</v>
      </c>
      <c r="F76" s="131">
        <v>6</v>
      </c>
      <c r="G76" s="131">
        <v>101.2</v>
      </c>
      <c r="H76" s="131">
        <v>39.900001525878906</v>
      </c>
      <c r="I76" s="131">
        <v>9.75678539276123</v>
      </c>
      <c r="J76" s="131">
        <v>14</v>
      </c>
      <c r="K76" s="131">
        <v>3</v>
      </c>
      <c r="L76" s="25">
        <f t="shared" si="7"/>
        <v>17.272682971981894</v>
      </c>
      <c r="M76" s="25">
        <f t="shared" si="8"/>
        <v>9.350557246136205</v>
      </c>
      <c r="N76" s="125">
        <f t="shared" si="9"/>
        <v>3.9610628629228444</v>
      </c>
    </row>
    <row r="77" spans="2:14" ht="12.75">
      <c r="B77" s="124"/>
      <c r="C77" s="124" t="str">
        <f t="shared" si="10"/>
        <v>March</v>
      </c>
      <c r="D77" s="125">
        <f t="shared" si="6"/>
        <v>12.999999761581421</v>
      </c>
      <c r="E77" s="131">
        <v>18.899999618530273</v>
      </c>
      <c r="F77" s="131">
        <v>7.099999904632568</v>
      </c>
      <c r="G77" s="131">
        <v>45.52000122070313</v>
      </c>
      <c r="H77" s="131">
        <v>68.9000015258789</v>
      </c>
      <c r="I77" s="131">
        <v>16.042903900146484</v>
      </c>
      <c r="J77" s="131">
        <v>9</v>
      </c>
      <c r="K77" s="131">
        <v>1</v>
      </c>
      <c r="L77" s="25">
        <f t="shared" si="7"/>
        <v>21.834892027836773</v>
      </c>
      <c r="M77" s="25">
        <f t="shared" si="8"/>
        <v>10.086963069931985</v>
      </c>
      <c r="N77" s="125">
        <f t="shared" si="9"/>
        <v>5.873964478952394</v>
      </c>
    </row>
    <row r="78" spans="2:14" ht="12.75">
      <c r="B78" s="124"/>
      <c r="C78" s="124" t="str">
        <f t="shared" si="10"/>
        <v>April</v>
      </c>
      <c r="D78" s="125">
        <f t="shared" si="6"/>
        <v>14.400000095367432</v>
      </c>
      <c r="E78" s="131">
        <v>19.5</v>
      </c>
      <c r="F78" s="131">
        <v>9.300000190734863</v>
      </c>
      <c r="G78" s="131">
        <v>75.84000244140626</v>
      </c>
      <c r="H78" s="131">
        <v>77.4000015258789</v>
      </c>
      <c r="I78" s="131">
        <v>18.67766761779785</v>
      </c>
      <c r="J78" s="131">
        <v>9</v>
      </c>
      <c r="K78" s="131">
        <v>0</v>
      </c>
      <c r="L78" s="25">
        <f t="shared" si="7"/>
        <v>22.666337519734263</v>
      </c>
      <c r="M78" s="25">
        <f t="shared" si="8"/>
        <v>11.714538133970887</v>
      </c>
      <c r="N78" s="125">
        <f t="shared" si="9"/>
        <v>5.475899692881688</v>
      </c>
    </row>
    <row r="79" spans="2:14" ht="12.75">
      <c r="B79" s="124"/>
      <c r="C79" s="124" t="str">
        <f t="shared" si="10"/>
        <v>May</v>
      </c>
      <c r="D79" s="125">
        <f t="shared" si="6"/>
        <v>16.09999990463257</v>
      </c>
      <c r="E79" s="131">
        <v>22.399999618530273</v>
      </c>
      <c r="F79" s="131">
        <v>9.800000190734863</v>
      </c>
      <c r="G79" s="131">
        <v>3.2</v>
      </c>
      <c r="H79" s="131">
        <v>94.30000305175781</v>
      </c>
      <c r="I79" s="131">
        <v>22.743547439575195</v>
      </c>
      <c r="J79" s="131">
        <v>2</v>
      </c>
      <c r="K79" s="131">
        <v>0</v>
      </c>
      <c r="L79" s="25">
        <f t="shared" si="7"/>
        <v>27.08759986636372</v>
      </c>
      <c r="M79" s="25">
        <f t="shared" si="8"/>
        <v>12.11514319801641</v>
      </c>
      <c r="N79" s="125">
        <f t="shared" si="9"/>
        <v>7.4862283341736555</v>
      </c>
    </row>
    <row r="80" spans="2:14" ht="12.75">
      <c r="B80" s="124"/>
      <c r="C80" s="124" t="str">
        <f t="shared" si="10"/>
        <v>June</v>
      </c>
      <c r="D80" s="125">
        <f t="shared" si="6"/>
        <v>18.200000286102295</v>
      </c>
      <c r="E80" s="131">
        <v>23.600000381469727</v>
      </c>
      <c r="F80" s="131">
        <v>12.800000190734863</v>
      </c>
      <c r="G80" s="131">
        <v>20.23999938964844</v>
      </c>
      <c r="H80" s="131">
        <v>86.19999694824219</v>
      </c>
      <c r="I80" s="131">
        <v>25.506332397460938</v>
      </c>
      <c r="J80" s="131">
        <v>4</v>
      </c>
      <c r="K80" s="131">
        <v>0</v>
      </c>
      <c r="L80" s="25">
        <f t="shared" si="7"/>
        <v>29.12664203179622</v>
      </c>
      <c r="M80" s="25">
        <f t="shared" si="8"/>
        <v>14.781640850576382</v>
      </c>
      <c r="N80" s="125">
        <f t="shared" si="9"/>
        <v>7.172500590609919</v>
      </c>
    </row>
    <row r="81" spans="2:14" ht="12.75">
      <c r="B81" s="124"/>
      <c r="C81" s="124" t="str">
        <f t="shared" si="10"/>
        <v>July</v>
      </c>
      <c r="D81" s="125">
        <f t="shared" si="6"/>
        <v>20.749999523162842</v>
      </c>
      <c r="E81" s="131">
        <v>26.299999237060547</v>
      </c>
      <c r="F81" s="131">
        <v>15.199999809265137</v>
      </c>
      <c r="G81" s="131">
        <v>3.0399999618530273</v>
      </c>
      <c r="H81" s="131">
        <v>91.5</v>
      </c>
      <c r="I81" s="131">
        <v>23.504838943481445</v>
      </c>
      <c r="J81" s="131">
        <v>2</v>
      </c>
      <c r="K81" s="131">
        <v>0</v>
      </c>
      <c r="L81" s="25">
        <f t="shared" si="7"/>
        <v>34.21061135585212</v>
      </c>
      <c r="M81" s="25">
        <f t="shared" si="8"/>
        <v>17.272682971981894</v>
      </c>
      <c r="N81" s="125">
        <f t="shared" si="9"/>
        <v>8.468964191935115</v>
      </c>
    </row>
    <row r="82" spans="2:14" ht="12.75">
      <c r="B82" s="124"/>
      <c r="C82" s="124" t="str">
        <f t="shared" si="10"/>
        <v>Aug</v>
      </c>
      <c r="D82" s="125">
        <f t="shared" si="6"/>
        <v>22.050000190734863</v>
      </c>
      <c r="E82" s="131">
        <v>27.700000762939453</v>
      </c>
      <c r="F82" s="131">
        <v>16.399999618530273</v>
      </c>
      <c r="G82" s="131">
        <v>18.080000305175783</v>
      </c>
      <c r="H82" s="131">
        <v>116</v>
      </c>
      <c r="I82" s="131">
        <v>21.94354820251465</v>
      </c>
      <c r="J82" s="131">
        <v>5</v>
      </c>
      <c r="K82" s="131">
        <v>0</v>
      </c>
      <c r="L82" s="25">
        <f t="shared" si="7"/>
        <v>37.138936947976845</v>
      </c>
      <c r="M82" s="25">
        <f t="shared" si="8"/>
        <v>18.650844221860588</v>
      </c>
      <c r="N82" s="125">
        <f t="shared" si="9"/>
        <v>9.244046363058128</v>
      </c>
    </row>
    <row r="83" spans="2:14" ht="12.75">
      <c r="B83" s="124"/>
      <c r="C83" s="124" t="str">
        <f t="shared" si="10"/>
        <v>Sep</v>
      </c>
      <c r="D83" s="125">
        <f t="shared" si="6"/>
        <v>21</v>
      </c>
      <c r="E83" s="131">
        <v>27</v>
      </c>
      <c r="F83" s="131">
        <v>15</v>
      </c>
      <c r="G83" s="131">
        <v>78.24000244140626</v>
      </c>
      <c r="H83" s="131">
        <v>91.0999984741211</v>
      </c>
      <c r="I83" s="131">
        <v>17.573333740234375</v>
      </c>
      <c r="J83" s="131">
        <v>6</v>
      </c>
      <c r="K83" s="131">
        <v>0</v>
      </c>
      <c r="L83" s="25">
        <f t="shared" si="7"/>
        <v>35.648592398728994</v>
      </c>
      <c r="M83" s="25">
        <f t="shared" si="8"/>
        <v>17.05189010686335</v>
      </c>
      <c r="N83" s="125">
        <f t="shared" si="9"/>
        <v>9.298351145932822</v>
      </c>
    </row>
    <row r="84" spans="2:14" ht="12.75">
      <c r="B84" s="124"/>
      <c r="C84" s="124" t="str">
        <f t="shared" si="10"/>
        <v>Oct</v>
      </c>
      <c r="D84" s="125">
        <f t="shared" si="6"/>
        <v>15.600000381469727</v>
      </c>
      <c r="E84" s="131">
        <v>19.700000762939453</v>
      </c>
      <c r="F84" s="131">
        <v>11.5</v>
      </c>
      <c r="G84" s="131">
        <v>139.04000244140624</v>
      </c>
      <c r="H84" s="131">
        <v>50.5</v>
      </c>
      <c r="I84" s="131">
        <v>9.76967716217041</v>
      </c>
      <c r="J84" s="131">
        <v>19</v>
      </c>
      <c r="K84" s="131">
        <v>0</v>
      </c>
      <c r="L84" s="25">
        <f t="shared" si="7"/>
        <v>22.949574018262</v>
      </c>
      <c r="M84" s="25">
        <f t="shared" si="8"/>
        <v>13.568786284046764</v>
      </c>
      <c r="N84" s="125">
        <f t="shared" si="9"/>
        <v>4.690393867107617</v>
      </c>
    </row>
    <row r="85" spans="2:14" ht="12.75">
      <c r="B85" s="124"/>
      <c r="C85" s="124" t="str">
        <f t="shared" si="10"/>
        <v>Nov</v>
      </c>
      <c r="D85" s="125">
        <f t="shared" si="6"/>
        <v>12.799999713897705</v>
      </c>
      <c r="E85" s="131">
        <v>17.799999237060547</v>
      </c>
      <c r="F85" s="131">
        <v>7.800000190734863</v>
      </c>
      <c r="G85" s="131">
        <v>76</v>
      </c>
      <c r="H85" s="131">
        <v>46.29999923706055</v>
      </c>
      <c r="I85" s="131">
        <v>8.037666320800781</v>
      </c>
      <c r="J85" s="131">
        <v>9</v>
      </c>
      <c r="K85" s="131">
        <v>2</v>
      </c>
      <c r="L85" s="25">
        <f t="shared" si="7"/>
        <v>20.37967292015232</v>
      </c>
      <c r="M85" s="25">
        <f t="shared" si="8"/>
        <v>10.581751017917167</v>
      </c>
      <c r="N85" s="125">
        <f t="shared" si="9"/>
        <v>4.8989609511175765</v>
      </c>
    </row>
    <row r="86" spans="2:14" ht="12.75">
      <c r="B86" s="124"/>
      <c r="C86" s="124" t="str">
        <f t="shared" si="10"/>
        <v>Dec</v>
      </c>
      <c r="D86" s="125">
        <f t="shared" si="6"/>
        <v>12.649999618530273</v>
      </c>
      <c r="E86" s="131">
        <v>16.299999237060547</v>
      </c>
      <c r="F86" s="131">
        <v>9</v>
      </c>
      <c r="G86" s="131">
        <v>110.95999755859376</v>
      </c>
      <c r="H86" s="131">
        <v>44.29999923706055</v>
      </c>
      <c r="I86" s="131">
        <v>5.234516143798828</v>
      </c>
      <c r="J86" s="131">
        <v>16</v>
      </c>
      <c r="K86" s="131">
        <v>0</v>
      </c>
      <c r="L86" s="25">
        <f t="shared" si="7"/>
        <v>18.532427507601287</v>
      </c>
      <c r="M86" s="25">
        <f t="shared" si="8"/>
        <v>11.479809370392651</v>
      </c>
      <c r="N86" s="125">
        <f t="shared" si="9"/>
        <v>3.526309068604318</v>
      </c>
    </row>
    <row r="87" spans="2:14" ht="12.75">
      <c r="B87" s="124">
        <f>B75+1</f>
        <v>1988</v>
      </c>
      <c r="C87" s="124" t="str">
        <f t="shared" si="10"/>
        <v>Jan</v>
      </c>
      <c r="D87" s="125">
        <f t="shared" si="6"/>
        <v>10.849999904632568</v>
      </c>
      <c r="E87" s="131">
        <v>14.899999618530273</v>
      </c>
      <c r="F87" s="131">
        <v>6.800000190734863</v>
      </c>
      <c r="G87" s="131">
        <v>140</v>
      </c>
      <c r="H87" s="131">
        <v>36.5</v>
      </c>
      <c r="I87" s="131">
        <v>6.824193477630615</v>
      </c>
      <c r="J87" s="131">
        <v>22</v>
      </c>
      <c r="K87" s="131">
        <v>0</v>
      </c>
      <c r="L87" s="25">
        <f t="shared" si="7"/>
        <v>16.942424159353404</v>
      </c>
      <c r="M87" s="25">
        <f t="shared" si="8"/>
        <v>9.8812271474312</v>
      </c>
      <c r="N87" s="125">
        <f t="shared" si="9"/>
        <v>3.530598505961102</v>
      </c>
    </row>
    <row r="88" spans="2:14" ht="12.75">
      <c r="B88" s="124"/>
      <c r="C88" s="124" t="str">
        <f t="shared" si="10"/>
        <v>Feb</v>
      </c>
      <c r="D88" s="125">
        <f t="shared" si="6"/>
        <v>10.599999904632568</v>
      </c>
      <c r="E88" s="131">
        <v>15.5</v>
      </c>
      <c r="F88" s="131">
        <v>5.699999809265137</v>
      </c>
      <c r="G88" s="131">
        <v>55.6</v>
      </c>
      <c r="H88" s="131">
        <v>54.20000076293945</v>
      </c>
      <c r="I88" s="131">
        <v>10.822758674621582</v>
      </c>
      <c r="J88" s="131">
        <v>12</v>
      </c>
      <c r="K88" s="131">
        <v>4</v>
      </c>
      <c r="L88" s="25">
        <f t="shared" si="7"/>
        <v>17.60857268023594</v>
      </c>
      <c r="M88" s="25">
        <f t="shared" si="8"/>
        <v>9.158129348946959</v>
      </c>
      <c r="N88" s="125">
        <f t="shared" si="9"/>
        <v>4.225221665644491</v>
      </c>
    </row>
    <row r="89" spans="2:14" ht="12.75">
      <c r="B89" s="124"/>
      <c r="C89" s="124" t="str">
        <f t="shared" si="10"/>
        <v>March</v>
      </c>
      <c r="D89" s="125">
        <f t="shared" si="6"/>
        <v>11.950000286102295</v>
      </c>
      <c r="E89" s="131">
        <v>18.600000381469727</v>
      </c>
      <c r="F89" s="131">
        <v>5.300000190734863</v>
      </c>
      <c r="G89" s="131">
        <v>6.55999984741211</v>
      </c>
      <c r="H89" s="131">
        <v>78</v>
      </c>
      <c r="I89" s="131">
        <v>17.59677505493164</v>
      </c>
      <c r="J89" s="131">
        <v>2</v>
      </c>
      <c r="K89" s="131">
        <v>1</v>
      </c>
      <c r="L89" s="25">
        <f t="shared" si="7"/>
        <v>21.42927026807466</v>
      </c>
      <c r="M89" s="25">
        <f t="shared" si="8"/>
        <v>8.906992548982615</v>
      </c>
      <c r="N89" s="125">
        <f t="shared" si="9"/>
        <v>6.261138859546023</v>
      </c>
    </row>
    <row r="90" spans="2:14" ht="12.75">
      <c r="B90" s="124"/>
      <c r="C90" s="124" t="str">
        <f t="shared" si="10"/>
        <v>April</v>
      </c>
      <c r="D90" s="125">
        <f t="shared" si="6"/>
        <v>13.799999713897705</v>
      </c>
      <c r="E90" s="131">
        <v>17.899999618530273</v>
      </c>
      <c r="F90" s="131">
        <v>9.699999809265137</v>
      </c>
      <c r="G90" s="131">
        <v>70.95999755859376</v>
      </c>
      <c r="H90" s="131">
        <v>58.099998474121094</v>
      </c>
      <c r="I90" s="131">
        <v>17.803667068481445</v>
      </c>
      <c r="J90" s="131">
        <v>11</v>
      </c>
      <c r="K90" s="131">
        <v>0</v>
      </c>
      <c r="L90" s="25">
        <f t="shared" si="7"/>
        <v>20.508361575311643</v>
      </c>
      <c r="M90" s="25">
        <f t="shared" si="8"/>
        <v>12.034071685691945</v>
      </c>
      <c r="N90" s="125">
        <f t="shared" si="9"/>
        <v>4.237144944809849</v>
      </c>
    </row>
    <row r="91" spans="2:14" ht="12.75">
      <c r="B91" s="124"/>
      <c r="C91" s="124" t="str">
        <f t="shared" si="10"/>
        <v>May</v>
      </c>
      <c r="D91" s="125">
        <f t="shared" si="6"/>
        <v>15.199999809265137</v>
      </c>
      <c r="E91" s="131">
        <v>19.299999237060547</v>
      </c>
      <c r="F91" s="131">
        <v>11.100000381469727</v>
      </c>
      <c r="G91" s="131">
        <v>81.75999755859375</v>
      </c>
      <c r="H91" s="131">
        <v>59.400001525878906</v>
      </c>
      <c r="I91" s="131">
        <v>21.24193572998047</v>
      </c>
      <c r="J91" s="131">
        <v>15</v>
      </c>
      <c r="K91" s="131">
        <v>0</v>
      </c>
      <c r="L91" s="25">
        <f t="shared" si="7"/>
        <v>22.386163269439102</v>
      </c>
      <c r="M91" s="25">
        <f t="shared" si="8"/>
        <v>13.213632150551243</v>
      </c>
      <c r="N91" s="125">
        <f t="shared" si="9"/>
        <v>4.586265559443929</v>
      </c>
    </row>
    <row r="92" spans="2:14" ht="12.75">
      <c r="B92" s="124"/>
      <c r="C92" s="124" t="str">
        <f t="shared" si="10"/>
        <v>June</v>
      </c>
      <c r="D92" s="125">
        <f t="shared" si="6"/>
        <v>17.800000190734863</v>
      </c>
      <c r="E92" s="131">
        <v>22</v>
      </c>
      <c r="F92" s="131">
        <v>13.600000381469727</v>
      </c>
      <c r="G92" s="131">
        <v>78.47999877929688</v>
      </c>
      <c r="H92" s="131">
        <v>59.70000076293945</v>
      </c>
      <c r="I92" s="131">
        <v>21.580333709716797</v>
      </c>
      <c r="J92" s="131">
        <v>9</v>
      </c>
      <c r="K92" s="131">
        <v>0</v>
      </c>
      <c r="L92" s="25">
        <f t="shared" si="7"/>
        <v>26.436203151442896</v>
      </c>
      <c r="M92" s="25">
        <f t="shared" si="8"/>
        <v>15.574429552141675</v>
      </c>
      <c r="N92" s="125">
        <f t="shared" si="9"/>
        <v>5.430886799650611</v>
      </c>
    </row>
    <row r="93" spans="2:14" ht="12.75">
      <c r="B93" s="124"/>
      <c r="C93" s="124" t="str">
        <f t="shared" si="10"/>
        <v>July</v>
      </c>
      <c r="D93" s="125">
        <f t="shared" si="6"/>
        <v>19.200000286102295</v>
      </c>
      <c r="E93" s="131">
        <v>24.100000381469727</v>
      </c>
      <c r="F93" s="131">
        <v>14.300000190734863</v>
      </c>
      <c r="G93" s="131">
        <v>41.43999938964844</v>
      </c>
      <c r="H93" s="131">
        <v>68.80000305175781</v>
      </c>
      <c r="I93" s="131">
        <v>25.87870979309082</v>
      </c>
      <c r="J93" s="131">
        <v>5</v>
      </c>
      <c r="K93" s="131">
        <v>0</v>
      </c>
      <c r="L93" s="25">
        <f t="shared" si="7"/>
        <v>30.014995811927715</v>
      </c>
      <c r="M93" s="25">
        <f t="shared" si="8"/>
        <v>16.298479514731145</v>
      </c>
      <c r="N93" s="125">
        <f t="shared" si="9"/>
        <v>6.858258148598285</v>
      </c>
    </row>
    <row r="94" spans="2:14" ht="12.75">
      <c r="B94" s="124"/>
      <c r="C94" s="124" t="str">
        <f t="shared" si="10"/>
        <v>Aug</v>
      </c>
      <c r="D94" s="125">
        <f t="shared" si="6"/>
        <v>19.5</v>
      </c>
      <c r="E94" s="131">
        <v>25.399999618530273</v>
      </c>
      <c r="F94" s="131">
        <v>13.600000381469727</v>
      </c>
      <c r="G94" s="131">
        <v>0</v>
      </c>
      <c r="H94" s="131">
        <v>88.5</v>
      </c>
      <c r="I94" s="131">
        <v>24.816129684448242</v>
      </c>
      <c r="J94" s="131">
        <v>0</v>
      </c>
      <c r="K94" s="131">
        <v>0</v>
      </c>
      <c r="L94" s="25">
        <f t="shared" si="7"/>
        <v>32.436223066589996</v>
      </c>
      <c r="M94" s="25">
        <f t="shared" si="8"/>
        <v>15.574429552141675</v>
      </c>
      <c r="N94" s="125">
        <f t="shared" si="9"/>
        <v>8.430896757224161</v>
      </c>
    </row>
    <row r="95" spans="2:14" ht="12.75">
      <c r="B95" s="124"/>
      <c r="C95" s="124" t="str">
        <f t="shared" si="10"/>
        <v>Sep</v>
      </c>
      <c r="D95" s="125">
        <f t="shared" si="6"/>
        <v>19.100000381469727</v>
      </c>
      <c r="E95" s="131">
        <v>27.200000762939453</v>
      </c>
      <c r="F95" s="131">
        <v>11</v>
      </c>
      <c r="G95" s="131">
        <v>6.640000152587891</v>
      </c>
      <c r="H95" s="131">
        <v>89.0999984741211</v>
      </c>
      <c r="I95" s="131">
        <v>19.640666961669922</v>
      </c>
      <c r="J95" s="131">
        <v>2</v>
      </c>
      <c r="K95" s="131">
        <v>0</v>
      </c>
      <c r="L95" s="25">
        <f t="shared" si="7"/>
        <v>36.068994071010884</v>
      </c>
      <c r="M95" s="25">
        <f t="shared" si="8"/>
        <v>13.126130039867608</v>
      </c>
      <c r="N95" s="125">
        <f t="shared" si="9"/>
        <v>11.471432015571638</v>
      </c>
    </row>
    <row r="96" spans="2:14" ht="12.75">
      <c r="B96" s="124"/>
      <c r="C96" s="124" t="str">
        <f t="shared" si="10"/>
        <v>Oct</v>
      </c>
      <c r="D96" s="125">
        <f t="shared" si="6"/>
        <v>16.65000009536743</v>
      </c>
      <c r="E96" s="131">
        <v>22.5</v>
      </c>
      <c r="F96" s="131">
        <v>10.800000190734863</v>
      </c>
      <c r="G96" s="131">
        <v>83.6</v>
      </c>
      <c r="H96" s="131">
        <v>73.4000015258789</v>
      </c>
      <c r="I96" s="131">
        <v>12.447096824645996</v>
      </c>
      <c r="J96" s="131">
        <v>8</v>
      </c>
      <c r="K96" s="131">
        <v>0</v>
      </c>
      <c r="L96" s="25">
        <f t="shared" si="7"/>
        <v>27.25262328337081</v>
      </c>
      <c r="M96" s="25">
        <f t="shared" si="8"/>
        <v>12.952653023084384</v>
      </c>
      <c r="N96" s="125">
        <f t="shared" si="9"/>
        <v>7.149985130143213</v>
      </c>
    </row>
    <row r="97" spans="2:14" ht="12.75">
      <c r="B97" s="124"/>
      <c r="C97" s="124" t="str">
        <f t="shared" si="10"/>
        <v>Nov</v>
      </c>
      <c r="D97" s="125">
        <f t="shared" si="6"/>
        <v>14.600000381469727</v>
      </c>
      <c r="E97" s="131">
        <v>19.700000762939453</v>
      </c>
      <c r="F97" s="131">
        <v>9.5</v>
      </c>
      <c r="G97" s="131">
        <v>50.07999877929688</v>
      </c>
      <c r="H97" s="131">
        <v>55.20000076293945</v>
      </c>
      <c r="I97" s="131">
        <v>7.230000019073486</v>
      </c>
      <c r="J97" s="131">
        <v>10</v>
      </c>
      <c r="K97" s="131">
        <v>0</v>
      </c>
      <c r="L97" s="25">
        <f t="shared" si="7"/>
        <v>22.949574018262</v>
      </c>
      <c r="M97" s="25">
        <f t="shared" si="8"/>
        <v>11.87335951095137</v>
      </c>
      <c r="N97" s="125">
        <f t="shared" si="9"/>
        <v>5.538107253655314</v>
      </c>
    </row>
    <row r="98" spans="2:14" ht="12.75">
      <c r="B98" s="124"/>
      <c r="C98" s="124" t="str">
        <f t="shared" si="10"/>
        <v>Dec</v>
      </c>
      <c r="D98" s="125">
        <f t="shared" si="6"/>
        <v>9.050000011920929</v>
      </c>
      <c r="E98" s="131">
        <v>16.5</v>
      </c>
      <c r="F98" s="131">
        <v>1.600000023841858</v>
      </c>
      <c r="G98" s="131">
        <v>14.160000610351563</v>
      </c>
      <c r="H98" s="131">
        <v>52.099998474121094</v>
      </c>
      <c r="I98" s="131">
        <v>8.523225784301758</v>
      </c>
      <c r="J98" s="131">
        <v>3</v>
      </c>
      <c r="K98" s="131">
        <v>16</v>
      </c>
      <c r="L98" s="25">
        <f t="shared" si="7"/>
        <v>18.76992337303938</v>
      </c>
      <c r="M98" s="25">
        <f t="shared" si="8"/>
        <v>6.85668030968977</v>
      </c>
      <c r="N98" s="125">
        <f t="shared" si="9"/>
        <v>5.956621531674805</v>
      </c>
    </row>
    <row r="99" spans="2:14" ht="12.75">
      <c r="B99" s="124">
        <f>B87+1</f>
        <v>1989</v>
      </c>
      <c r="C99" s="124" t="str">
        <f t="shared" si="10"/>
        <v>Jan</v>
      </c>
      <c r="D99" s="125">
        <f t="shared" si="6"/>
        <v>9.050000369548798</v>
      </c>
      <c r="E99" s="131">
        <v>16.200000762939453</v>
      </c>
      <c r="F99" s="131">
        <v>1.899999976158142</v>
      </c>
      <c r="G99" s="131">
        <v>33.2</v>
      </c>
      <c r="H99" s="131">
        <v>51.29999923706055</v>
      </c>
      <c r="I99" s="131">
        <v>9.244193077087402</v>
      </c>
      <c r="J99" s="131">
        <v>4</v>
      </c>
      <c r="K99" s="131">
        <v>14</v>
      </c>
      <c r="L99" s="25">
        <f t="shared" si="7"/>
        <v>18.414672339690902</v>
      </c>
      <c r="M99" s="25">
        <f t="shared" si="8"/>
        <v>7.005788890659067</v>
      </c>
      <c r="N99" s="125">
        <f t="shared" si="9"/>
        <v>5.704441724515918</v>
      </c>
    </row>
    <row r="100" spans="2:14" ht="12.75">
      <c r="B100" s="124"/>
      <c r="C100" s="124" t="str">
        <f t="shared" si="10"/>
        <v>Feb</v>
      </c>
      <c r="D100" s="125">
        <f t="shared" si="6"/>
        <v>11.500000476837158</v>
      </c>
      <c r="E100" s="131">
        <v>17.700000762939453</v>
      </c>
      <c r="F100" s="131">
        <v>5.300000190734863</v>
      </c>
      <c r="G100" s="131">
        <v>78.47999877929688</v>
      </c>
      <c r="H100" s="131">
        <v>62</v>
      </c>
      <c r="I100" s="131">
        <v>11.599286079406738</v>
      </c>
      <c r="J100" s="131">
        <v>11</v>
      </c>
      <c r="K100" s="131">
        <v>6</v>
      </c>
      <c r="L100" s="25">
        <f t="shared" si="7"/>
        <v>20.251694228646116</v>
      </c>
      <c r="M100" s="25">
        <f t="shared" si="8"/>
        <v>8.906992548982615</v>
      </c>
      <c r="N100" s="125">
        <f t="shared" si="9"/>
        <v>5.672350839831751</v>
      </c>
    </row>
    <row r="101" spans="2:14" ht="12.75">
      <c r="B101" s="124"/>
      <c r="C101" s="124" t="str">
        <f t="shared" si="10"/>
        <v>March</v>
      </c>
      <c r="D101" s="125">
        <f t="shared" si="6"/>
        <v>12.799999713897705</v>
      </c>
      <c r="E101" s="131">
        <v>18.899999618530273</v>
      </c>
      <c r="F101" s="131">
        <v>6.699999809265137</v>
      </c>
      <c r="G101" s="131">
        <v>58.4</v>
      </c>
      <c r="H101" s="131">
        <v>71</v>
      </c>
      <c r="I101" s="131">
        <v>17.515806198120117</v>
      </c>
      <c r="J101" s="131">
        <v>6</v>
      </c>
      <c r="K101" s="131">
        <v>2</v>
      </c>
      <c r="L101" s="25">
        <f t="shared" si="7"/>
        <v>21.834892027836773</v>
      </c>
      <c r="M101" s="25">
        <f t="shared" si="8"/>
        <v>9.813474436884212</v>
      </c>
      <c r="N101" s="125">
        <f t="shared" si="9"/>
        <v>6.010708795476281</v>
      </c>
    </row>
    <row r="102" spans="2:14" ht="12.75">
      <c r="B102" s="124"/>
      <c r="C102" s="124" t="str">
        <f t="shared" si="10"/>
        <v>April</v>
      </c>
      <c r="D102" s="125">
        <f t="shared" si="6"/>
        <v>12.449999809265137</v>
      </c>
      <c r="E102" s="131">
        <v>16.899999618530273</v>
      </c>
      <c r="F102" s="131">
        <v>8</v>
      </c>
      <c r="G102" s="131">
        <v>72.47999877929688</v>
      </c>
      <c r="H102" s="131">
        <v>58.599998474121094</v>
      </c>
      <c r="I102" s="131">
        <v>18.377666473388672</v>
      </c>
      <c r="J102" s="131">
        <v>19</v>
      </c>
      <c r="K102" s="131">
        <v>0</v>
      </c>
      <c r="L102" s="25">
        <f t="shared" si="7"/>
        <v>19.25292504323271</v>
      </c>
      <c r="M102" s="25">
        <f t="shared" si="8"/>
        <v>10.726987145708597</v>
      </c>
      <c r="N102" s="125">
        <f t="shared" si="9"/>
        <v>4.262968948762057</v>
      </c>
    </row>
    <row r="103" spans="2:14" ht="12.75">
      <c r="B103" s="124"/>
      <c r="C103" s="124" t="str">
        <f aca="true" t="shared" si="11" ref="C103:C134">C91</f>
        <v>May</v>
      </c>
      <c r="D103" s="125">
        <f t="shared" si="6"/>
        <v>17</v>
      </c>
      <c r="E103" s="131">
        <v>23.100000381469727</v>
      </c>
      <c r="F103" s="131">
        <v>10.899999618530273</v>
      </c>
      <c r="G103" s="131">
        <v>55.92000122070313</v>
      </c>
      <c r="H103" s="131">
        <v>66.5999984741211</v>
      </c>
      <c r="I103" s="131">
        <v>24.238710403442383</v>
      </c>
      <c r="J103" s="131">
        <v>11</v>
      </c>
      <c r="K103" s="131">
        <v>0</v>
      </c>
      <c r="L103" s="25">
        <f t="shared" si="7"/>
        <v>28.261319999760662</v>
      </c>
      <c r="M103" s="25">
        <f t="shared" si="8"/>
        <v>13.039137567600497</v>
      </c>
      <c r="N103" s="125">
        <f t="shared" si="9"/>
        <v>7.611091216080083</v>
      </c>
    </row>
    <row r="104" spans="2:14" ht="12.75">
      <c r="B104" s="124"/>
      <c r="C104" s="124" t="str">
        <f t="shared" si="11"/>
        <v>June</v>
      </c>
      <c r="D104" s="125">
        <f t="shared" si="6"/>
        <v>18.90000009536743</v>
      </c>
      <c r="E104" s="131">
        <v>24.5</v>
      </c>
      <c r="F104" s="131">
        <v>13.300000190734863</v>
      </c>
      <c r="G104" s="131">
        <v>0</v>
      </c>
      <c r="H104" s="131">
        <v>77.5999984741211</v>
      </c>
      <c r="I104" s="131">
        <v>28.290332794189453</v>
      </c>
      <c r="J104" s="131">
        <v>0</v>
      </c>
      <c r="K104" s="131">
        <v>0</v>
      </c>
      <c r="L104" s="25">
        <f t="shared" si="7"/>
        <v>30.74260663097627</v>
      </c>
      <c r="M104" s="25">
        <f t="shared" si="8"/>
        <v>15.272866589706718</v>
      </c>
      <c r="N104" s="125">
        <f t="shared" si="9"/>
        <v>7.734870020634776</v>
      </c>
    </row>
    <row r="105" spans="2:14" ht="12.75">
      <c r="B105" s="124"/>
      <c r="C105" s="124" t="str">
        <f t="shared" si="11"/>
        <v>July</v>
      </c>
      <c r="D105" s="125">
        <f t="shared" si="6"/>
        <v>22.65000057220459</v>
      </c>
      <c r="E105" s="131">
        <v>29.700000762939453</v>
      </c>
      <c r="F105" s="131">
        <v>15.600000381469727</v>
      </c>
      <c r="G105" s="131">
        <v>0</v>
      </c>
      <c r="H105" s="131">
        <v>103.19999694824219</v>
      </c>
      <c r="I105" s="131">
        <v>27.431936264038086</v>
      </c>
      <c r="J105" s="131">
        <v>0</v>
      </c>
      <c r="K105" s="131">
        <v>0</v>
      </c>
      <c r="L105" s="25">
        <f t="shared" si="7"/>
        <v>41.699969383649496</v>
      </c>
      <c r="M105" s="25">
        <f t="shared" si="8"/>
        <v>17.72180161999708</v>
      </c>
      <c r="N105" s="125">
        <f t="shared" si="9"/>
        <v>11.989083881826208</v>
      </c>
    </row>
    <row r="106" spans="2:14" ht="12.75">
      <c r="B106" s="124"/>
      <c r="C106" s="124" t="str">
        <f t="shared" si="11"/>
        <v>Aug</v>
      </c>
      <c r="D106" s="125">
        <f t="shared" si="6"/>
        <v>21.550000190734863</v>
      </c>
      <c r="E106" s="131">
        <v>27</v>
      </c>
      <c r="F106" s="131">
        <v>16.100000381469727</v>
      </c>
      <c r="G106" s="131">
        <v>1.9200000762939453</v>
      </c>
      <c r="H106" s="131">
        <v>78.69999694824219</v>
      </c>
      <c r="I106" s="131">
        <v>21.99322509765625</v>
      </c>
      <c r="J106" s="131">
        <v>0</v>
      </c>
      <c r="K106" s="131">
        <v>0</v>
      </c>
      <c r="L106" s="25">
        <f t="shared" si="7"/>
        <v>35.648592398728994</v>
      </c>
      <c r="M106" s="25">
        <f t="shared" si="8"/>
        <v>18.29757110766953</v>
      </c>
      <c r="N106" s="125">
        <f t="shared" si="9"/>
        <v>8.675510645529732</v>
      </c>
    </row>
    <row r="107" spans="2:14" ht="12.75">
      <c r="B107" s="124"/>
      <c r="C107" s="124" t="str">
        <f t="shared" si="11"/>
        <v>Sep</v>
      </c>
      <c r="D107" s="125">
        <f t="shared" si="6"/>
        <v>18.84999990463257</v>
      </c>
      <c r="E107" s="131">
        <v>26</v>
      </c>
      <c r="F107" s="131">
        <v>11.699999809265137</v>
      </c>
      <c r="G107" s="131">
        <v>5.679999923706055</v>
      </c>
      <c r="H107" s="131">
        <v>90.5</v>
      </c>
      <c r="I107" s="131">
        <v>19.73699951171875</v>
      </c>
      <c r="J107" s="131">
        <v>2</v>
      </c>
      <c r="K107" s="131">
        <v>0</v>
      </c>
      <c r="L107" s="25">
        <f t="shared" si="7"/>
        <v>33.6099785805441</v>
      </c>
      <c r="M107" s="25">
        <f t="shared" si="8"/>
        <v>13.749487765911553</v>
      </c>
      <c r="N107" s="125">
        <f t="shared" si="9"/>
        <v>9.930245407316274</v>
      </c>
    </row>
    <row r="108" spans="2:14" ht="12.75">
      <c r="B108" s="124"/>
      <c r="C108" s="124" t="str">
        <f t="shared" si="11"/>
        <v>Oct</v>
      </c>
      <c r="D108" s="125">
        <f t="shared" si="6"/>
        <v>18.300000190734863</v>
      </c>
      <c r="E108" s="131">
        <v>25</v>
      </c>
      <c r="F108" s="131">
        <v>11.600000381469727</v>
      </c>
      <c r="G108" s="131">
        <v>102.32000122070313</v>
      </c>
      <c r="H108" s="131">
        <v>79.69999694824219</v>
      </c>
      <c r="I108" s="131">
        <v>13.563871383666992</v>
      </c>
      <c r="J108" s="131">
        <v>7</v>
      </c>
      <c r="K108" s="131">
        <v>0</v>
      </c>
      <c r="L108" s="25">
        <f t="shared" si="7"/>
        <v>31.673720930966624</v>
      </c>
      <c r="M108" s="25">
        <f t="shared" si="8"/>
        <v>13.658874931943691</v>
      </c>
      <c r="N108" s="125">
        <f t="shared" si="9"/>
        <v>9.007422999511466</v>
      </c>
    </row>
    <row r="109" spans="2:14" ht="12.75">
      <c r="B109" s="124"/>
      <c r="C109" s="124" t="str">
        <f t="shared" si="11"/>
        <v>Nov</v>
      </c>
      <c r="D109" s="125">
        <f t="shared" si="6"/>
        <v>13.849999904632568</v>
      </c>
      <c r="E109" s="131">
        <v>17.899999618530273</v>
      </c>
      <c r="F109" s="131">
        <v>9.800000190734863</v>
      </c>
      <c r="G109" s="131">
        <v>149.6</v>
      </c>
      <c r="H109" s="131">
        <v>44.400001525878906</v>
      </c>
      <c r="I109" s="131">
        <v>7.184333324432373</v>
      </c>
      <c r="J109" s="131">
        <v>21</v>
      </c>
      <c r="K109" s="131">
        <v>0</v>
      </c>
      <c r="L109" s="25">
        <f t="shared" si="7"/>
        <v>20.508361575311643</v>
      </c>
      <c r="M109" s="25">
        <f t="shared" si="8"/>
        <v>12.11514319801641</v>
      </c>
      <c r="N109" s="125">
        <f t="shared" si="9"/>
        <v>4.196609188647616</v>
      </c>
    </row>
    <row r="110" spans="2:14" ht="12.75">
      <c r="B110" s="124"/>
      <c r="C110" s="124" t="str">
        <f t="shared" si="11"/>
        <v>Dec</v>
      </c>
      <c r="D110" s="125">
        <f t="shared" si="6"/>
        <v>13.650000095367432</v>
      </c>
      <c r="E110" s="131">
        <v>16.600000381469727</v>
      </c>
      <c r="F110" s="131">
        <v>10.699999809265137</v>
      </c>
      <c r="G110" s="131">
        <v>235.039990234375</v>
      </c>
      <c r="H110" s="131">
        <v>49.29999923706055</v>
      </c>
      <c r="I110" s="131">
        <v>4.830322742462158</v>
      </c>
      <c r="J110" s="131">
        <v>22</v>
      </c>
      <c r="K110" s="131">
        <v>0</v>
      </c>
      <c r="L110" s="25">
        <f t="shared" si="7"/>
        <v>18.889668103409804</v>
      </c>
      <c r="M110" s="25">
        <f t="shared" si="8"/>
        <v>12.866672233938193</v>
      </c>
      <c r="N110" s="125">
        <f t="shared" si="9"/>
        <v>3.0114979347358055</v>
      </c>
    </row>
    <row r="111" spans="2:14" ht="12.75">
      <c r="B111" s="124">
        <f>B99+1</f>
        <v>1990</v>
      </c>
      <c r="C111" s="124" t="str">
        <f t="shared" si="11"/>
        <v>Jan</v>
      </c>
      <c r="D111" s="125">
        <f t="shared" si="6"/>
        <v>9.5</v>
      </c>
      <c r="E111" s="131">
        <v>15.5</v>
      </c>
      <c r="F111" s="131">
        <v>3.5</v>
      </c>
      <c r="G111" s="131">
        <v>124.3199951171875</v>
      </c>
      <c r="H111" s="131">
        <v>30.899999618530273</v>
      </c>
      <c r="I111" s="131">
        <v>8.18483829498291</v>
      </c>
      <c r="J111" s="131">
        <v>14</v>
      </c>
      <c r="K111" s="131">
        <v>6</v>
      </c>
      <c r="L111" s="25">
        <f t="shared" si="7"/>
        <v>17.60857268023594</v>
      </c>
      <c r="M111" s="25">
        <f t="shared" si="8"/>
        <v>7.850439754090702</v>
      </c>
      <c r="N111" s="125">
        <f t="shared" si="9"/>
        <v>4.87906646307262</v>
      </c>
    </row>
    <row r="112" spans="2:14" ht="12.75">
      <c r="B112" s="124"/>
      <c r="C112" s="124" t="str">
        <f t="shared" si="11"/>
        <v>Feb</v>
      </c>
      <c r="D112" s="125">
        <f t="shared" si="6"/>
        <v>13.449999809265137</v>
      </c>
      <c r="E112" s="131">
        <v>18</v>
      </c>
      <c r="F112" s="131">
        <v>8.899999618530273</v>
      </c>
      <c r="G112" s="131">
        <v>37.76000061035156</v>
      </c>
      <c r="H112" s="131">
        <v>44.900001525878906</v>
      </c>
      <c r="I112" s="131">
        <v>11.725714683532715</v>
      </c>
      <c r="J112" s="131">
        <v>6</v>
      </c>
      <c r="K112" s="131">
        <v>0</v>
      </c>
      <c r="L112" s="25">
        <f t="shared" si="7"/>
        <v>20.637761072587516</v>
      </c>
      <c r="M112" s="25">
        <f t="shared" si="8"/>
        <v>11.402491094690165</v>
      </c>
      <c r="N112" s="125">
        <f t="shared" si="9"/>
        <v>4.617634988948676</v>
      </c>
    </row>
    <row r="113" spans="2:14" ht="12.75">
      <c r="B113" s="124"/>
      <c r="C113" s="124" t="str">
        <f t="shared" si="11"/>
        <v>March</v>
      </c>
      <c r="D113" s="125">
        <f t="shared" si="6"/>
        <v>13.350000143051147</v>
      </c>
      <c r="E113" s="131">
        <v>20.600000381469727</v>
      </c>
      <c r="F113" s="131">
        <v>6.099999904632568</v>
      </c>
      <c r="G113" s="131">
        <v>15.839999389648439</v>
      </c>
      <c r="H113" s="131">
        <v>111.80000305175781</v>
      </c>
      <c r="I113" s="131">
        <v>17.04451560974121</v>
      </c>
      <c r="J113" s="131">
        <v>2</v>
      </c>
      <c r="K113" s="131">
        <v>0</v>
      </c>
      <c r="L113" s="25">
        <f t="shared" si="7"/>
        <v>24.262791052280953</v>
      </c>
      <c r="M113" s="25">
        <f t="shared" si="8"/>
        <v>9.41548686221841</v>
      </c>
      <c r="N113" s="125">
        <f t="shared" si="9"/>
        <v>7.423652095031271</v>
      </c>
    </row>
    <row r="114" spans="2:14" ht="12.75">
      <c r="B114" s="124"/>
      <c r="C114" s="124" t="str">
        <f t="shared" si="11"/>
        <v>April</v>
      </c>
      <c r="D114" s="125">
        <f t="shared" si="6"/>
        <v>13.5</v>
      </c>
      <c r="E114" s="131">
        <v>18.5</v>
      </c>
      <c r="F114" s="131">
        <v>8.5</v>
      </c>
      <c r="G114" s="131">
        <v>82.72000122070312</v>
      </c>
      <c r="H114" s="131">
        <v>77.4000015258789</v>
      </c>
      <c r="I114" s="131">
        <v>20.417667388916016</v>
      </c>
      <c r="J114" s="131">
        <v>11</v>
      </c>
      <c r="K114" s="131">
        <v>0</v>
      </c>
      <c r="L114" s="25">
        <f t="shared" si="7"/>
        <v>21.295535465661136</v>
      </c>
      <c r="M114" s="25">
        <f t="shared" si="8"/>
        <v>11.097781720716483</v>
      </c>
      <c r="N114" s="125">
        <f t="shared" si="9"/>
        <v>5.098876872472326</v>
      </c>
    </row>
    <row r="115" spans="2:14" ht="12.75">
      <c r="B115" s="124"/>
      <c r="C115" s="124" t="str">
        <f t="shared" si="11"/>
        <v>May</v>
      </c>
      <c r="D115" s="125">
        <f t="shared" si="6"/>
        <v>17.899999618530273</v>
      </c>
      <c r="E115" s="131">
        <v>24.799999237060547</v>
      </c>
      <c r="F115" s="131">
        <v>11</v>
      </c>
      <c r="G115" s="131">
        <v>16.560000610351562</v>
      </c>
      <c r="H115" s="131">
        <v>87</v>
      </c>
      <c r="I115" s="131">
        <v>26.70612907409668</v>
      </c>
      <c r="J115" s="131">
        <v>3</v>
      </c>
      <c r="K115" s="131">
        <v>0</v>
      </c>
      <c r="L115" s="25">
        <f t="shared" si="7"/>
        <v>31.298364203109077</v>
      </c>
      <c r="M115" s="25">
        <f t="shared" si="8"/>
        <v>13.126130039867608</v>
      </c>
      <c r="N115" s="125">
        <f t="shared" si="9"/>
        <v>9.086117081620735</v>
      </c>
    </row>
    <row r="116" spans="2:14" ht="12.75">
      <c r="B116" s="124"/>
      <c r="C116" s="124" t="str">
        <f t="shared" si="11"/>
        <v>June</v>
      </c>
      <c r="D116" s="125">
        <f t="shared" si="6"/>
        <v>19.050000190734863</v>
      </c>
      <c r="E116" s="131">
        <v>24.600000381469727</v>
      </c>
      <c r="F116" s="131">
        <v>13.5</v>
      </c>
      <c r="G116" s="131">
        <v>3.8400001525878906</v>
      </c>
      <c r="H116" s="131">
        <v>84.69999694824219</v>
      </c>
      <c r="I116" s="131">
        <v>25.952999114990234</v>
      </c>
      <c r="J116" s="131">
        <v>2</v>
      </c>
      <c r="K116" s="131">
        <v>0</v>
      </c>
      <c r="L116" s="25">
        <f t="shared" si="7"/>
        <v>30.926896135105537</v>
      </c>
      <c r="M116" s="25">
        <f t="shared" si="8"/>
        <v>15.47333280888696</v>
      </c>
      <c r="N116" s="125">
        <f t="shared" si="9"/>
        <v>7.726781663109288</v>
      </c>
    </row>
    <row r="117" spans="2:14" ht="12.75">
      <c r="B117" s="124"/>
      <c r="C117" s="124" t="str">
        <f t="shared" si="11"/>
        <v>July</v>
      </c>
      <c r="D117" s="125">
        <f t="shared" si="6"/>
        <v>21.90000009536743</v>
      </c>
      <c r="E117" s="131">
        <v>28.600000381469727</v>
      </c>
      <c r="F117" s="131">
        <v>15.199999809265137</v>
      </c>
      <c r="G117" s="131">
        <v>10.4</v>
      </c>
      <c r="H117" s="131">
        <v>104.30000305175781</v>
      </c>
      <c r="I117" s="131">
        <v>27.25290298461914</v>
      </c>
      <c r="J117" s="131">
        <v>1</v>
      </c>
      <c r="K117" s="131">
        <v>0</v>
      </c>
      <c r="L117" s="25">
        <f t="shared" si="7"/>
        <v>39.1346027369795</v>
      </c>
      <c r="M117" s="25">
        <f t="shared" si="8"/>
        <v>17.272682971981894</v>
      </c>
      <c r="N117" s="125">
        <f t="shared" si="9"/>
        <v>10.930959882498804</v>
      </c>
    </row>
    <row r="118" spans="2:14" ht="12.75">
      <c r="B118" s="124"/>
      <c r="C118" s="124" t="str">
        <f t="shared" si="11"/>
        <v>Aug</v>
      </c>
      <c r="D118" s="125">
        <f t="shared" si="6"/>
        <v>21.700000286102295</v>
      </c>
      <c r="E118" s="131">
        <v>28.100000381469727</v>
      </c>
      <c r="F118" s="131">
        <v>15.300000190734863</v>
      </c>
      <c r="G118" s="131">
        <v>5.520000076293946</v>
      </c>
      <c r="H118" s="131">
        <v>95.4000015258789</v>
      </c>
      <c r="I118" s="131">
        <v>24.925806045532227</v>
      </c>
      <c r="J118" s="131">
        <v>1</v>
      </c>
      <c r="K118" s="131">
        <v>0</v>
      </c>
      <c r="L118" s="25">
        <f t="shared" si="7"/>
        <v>38.01468253627602</v>
      </c>
      <c r="M118" s="25">
        <f t="shared" si="8"/>
        <v>17.38401691018374</v>
      </c>
      <c r="N118" s="125">
        <f t="shared" si="9"/>
        <v>10.31533281304614</v>
      </c>
    </row>
    <row r="119" spans="2:14" ht="12.75">
      <c r="B119" s="124"/>
      <c r="C119" s="124" t="str">
        <f t="shared" si="11"/>
        <v>Sep</v>
      </c>
      <c r="D119" s="125">
        <f t="shared" si="6"/>
        <v>20.649999618530273</v>
      </c>
      <c r="E119" s="131">
        <v>26.799999237060547</v>
      </c>
      <c r="F119" s="131">
        <v>14.5</v>
      </c>
      <c r="G119" s="131">
        <v>26.560000610351565</v>
      </c>
      <c r="H119" s="131">
        <v>75.0999984741211</v>
      </c>
      <c r="I119" s="131">
        <v>19.207332611083984</v>
      </c>
      <c r="J119" s="131">
        <v>4</v>
      </c>
      <c r="K119" s="131">
        <v>0</v>
      </c>
      <c r="L119" s="25">
        <f t="shared" si="7"/>
        <v>35.23246508776798</v>
      </c>
      <c r="M119" s="25">
        <f t="shared" si="8"/>
        <v>16.510700078797765</v>
      </c>
      <c r="N119" s="125">
        <f t="shared" si="9"/>
        <v>9.360882504485106</v>
      </c>
    </row>
    <row r="120" spans="2:14" ht="12.75">
      <c r="B120" s="124"/>
      <c r="C120" s="124" t="str">
        <f t="shared" si="11"/>
        <v>Oct</v>
      </c>
      <c r="D120" s="125">
        <f t="shared" si="6"/>
        <v>16.600000381469727</v>
      </c>
      <c r="E120" s="131">
        <v>21.600000381469727</v>
      </c>
      <c r="F120" s="131">
        <v>11.600000381469727</v>
      </c>
      <c r="G120" s="131">
        <v>181.44000244140625</v>
      </c>
      <c r="H120" s="131">
        <v>53.79999923706055</v>
      </c>
      <c r="I120" s="131">
        <v>12.186128616333008</v>
      </c>
      <c r="J120" s="131">
        <v>20</v>
      </c>
      <c r="K120" s="131">
        <v>0</v>
      </c>
      <c r="L120" s="25">
        <f t="shared" si="7"/>
        <v>25.798530559851905</v>
      </c>
      <c r="M120" s="25">
        <f t="shared" si="8"/>
        <v>13.658874931943691</v>
      </c>
      <c r="N120" s="125">
        <f t="shared" si="9"/>
        <v>6.069827813954107</v>
      </c>
    </row>
    <row r="121" spans="2:14" ht="12.75">
      <c r="B121" s="124"/>
      <c r="C121" s="124" t="str">
        <f t="shared" si="11"/>
        <v>Nov</v>
      </c>
      <c r="D121" s="125">
        <f t="shared" si="6"/>
        <v>12.449999809265137</v>
      </c>
      <c r="E121" s="131">
        <v>17.899999618530273</v>
      </c>
      <c r="F121" s="131">
        <v>7</v>
      </c>
      <c r="G121" s="131">
        <v>96.4</v>
      </c>
      <c r="H121" s="131">
        <v>39.70000076293945</v>
      </c>
      <c r="I121" s="131">
        <v>10.188666343688965</v>
      </c>
      <c r="J121" s="131">
        <v>10</v>
      </c>
      <c r="K121" s="131">
        <v>1</v>
      </c>
      <c r="L121" s="25">
        <f t="shared" si="7"/>
        <v>20.508361575311643</v>
      </c>
      <c r="M121" s="25">
        <f t="shared" si="8"/>
        <v>10.01796915987648</v>
      </c>
      <c r="N121" s="125">
        <f t="shared" si="9"/>
        <v>5.245196207717581</v>
      </c>
    </row>
    <row r="122" spans="2:14" ht="12.75">
      <c r="B122" s="124"/>
      <c r="C122" s="124" t="str">
        <f t="shared" si="11"/>
        <v>Dec</v>
      </c>
      <c r="D122" s="125">
        <f t="shared" si="6"/>
        <v>10.099999904632568</v>
      </c>
      <c r="E122" s="131">
        <v>14.699999809265137</v>
      </c>
      <c r="F122" s="131">
        <v>5.5</v>
      </c>
      <c r="G122" s="131">
        <v>80.47999877929688</v>
      </c>
      <c r="H122" s="131">
        <v>44.400001525878906</v>
      </c>
      <c r="I122" s="131">
        <v>6.164838790893555</v>
      </c>
      <c r="J122" s="131">
        <v>13</v>
      </c>
      <c r="K122" s="131">
        <v>3</v>
      </c>
      <c r="L122" s="25">
        <f t="shared" si="7"/>
        <v>16.72534048915564</v>
      </c>
      <c r="M122" s="25">
        <f t="shared" si="8"/>
        <v>9.031791527337647</v>
      </c>
      <c r="N122" s="125">
        <f t="shared" si="9"/>
        <v>3.846774480908997</v>
      </c>
    </row>
    <row r="123" spans="2:14" ht="12.75">
      <c r="B123" s="124">
        <f>B111+1</f>
        <v>1991</v>
      </c>
      <c r="C123" s="124" t="str">
        <f t="shared" si="11"/>
        <v>Jan</v>
      </c>
      <c r="D123" s="125">
        <f t="shared" si="6"/>
        <v>8.799999952316284</v>
      </c>
      <c r="E123" s="131">
        <v>15</v>
      </c>
      <c r="F123" s="131">
        <v>2.5999999046325684</v>
      </c>
      <c r="G123" s="131">
        <v>67.44000244140625</v>
      </c>
      <c r="H123" s="131">
        <v>46</v>
      </c>
      <c r="I123" s="131">
        <v>8.982580184936523</v>
      </c>
      <c r="J123" s="131">
        <v>11</v>
      </c>
      <c r="K123" s="131">
        <v>10</v>
      </c>
      <c r="L123" s="25">
        <f t="shared" si="7"/>
        <v>17.05189010686335</v>
      </c>
      <c r="M123" s="25">
        <f t="shared" si="8"/>
        <v>7.364899853960564</v>
      </c>
      <c r="N123" s="125">
        <f t="shared" si="9"/>
        <v>4.843495126451393</v>
      </c>
    </row>
    <row r="124" spans="2:14" ht="12.75">
      <c r="B124" s="124"/>
      <c r="C124" s="124" t="str">
        <f t="shared" si="11"/>
        <v>Feb</v>
      </c>
      <c r="D124" s="125">
        <f t="shared" si="6"/>
        <v>8.850000143051147</v>
      </c>
      <c r="E124" s="131">
        <v>14.300000190734863</v>
      </c>
      <c r="F124" s="131">
        <v>3.4000000953674316</v>
      </c>
      <c r="G124" s="131">
        <v>106.64000244140625</v>
      </c>
      <c r="H124" s="131">
        <v>61.29999923706055</v>
      </c>
      <c r="I124" s="131">
        <v>10.870357513427734</v>
      </c>
      <c r="J124" s="131">
        <v>13</v>
      </c>
      <c r="K124" s="131">
        <v>5</v>
      </c>
      <c r="L124" s="25">
        <f t="shared" si="7"/>
        <v>16.298479514731145</v>
      </c>
      <c r="M124" s="25">
        <f t="shared" si="8"/>
        <v>7.79513129553432</v>
      </c>
      <c r="N124" s="125">
        <f t="shared" si="9"/>
        <v>4.2516741095984125</v>
      </c>
    </row>
    <row r="125" spans="2:14" ht="12.75">
      <c r="B125" s="124"/>
      <c r="C125" s="124" t="str">
        <f t="shared" si="11"/>
        <v>March</v>
      </c>
      <c r="D125" s="125">
        <f t="shared" si="6"/>
        <v>12.549999713897705</v>
      </c>
      <c r="E125" s="131">
        <v>16.799999237060547</v>
      </c>
      <c r="F125" s="131">
        <v>8.300000190734863</v>
      </c>
      <c r="G125" s="131">
        <v>140.8</v>
      </c>
      <c r="H125" s="131">
        <v>62.400001525878906</v>
      </c>
      <c r="I125" s="131">
        <v>14.036774635314941</v>
      </c>
      <c r="J125" s="131">
        <v>15</v>
      </c>
      <c r="K125" s="131">
        <v>0</v>
      </c>
      <c r="L125" s="25">
        <f t="shared" si="7"/>
        <v>19.13116461473784</v>
      </c>
      <c r="M125" s="25">
        <f t="shared" si="8"/>
        <v>10.948132070402389</v>
      </c>
      <c r="N125" s="125">
        <f t="shared" si="9"/>
        <v>4.091516272167726</v>
      </c>
    </row>
    <row r="126" spans="2:14" ht="12.75">
      <c r="B126" s="124"/>
      <c r="C126" s="124" t="str">
        <f t="shared" si="11"/>
        <v>April</v>
      </c>
      <c r="D126" s="125">
        <f t="shared" si="6"/>
        <v>13.09999966621399</v>
      </c>
      <c r="E126" s="131">
        <v>19.299999237060547</v>
      </c>
      <c r="F126" s="131">
        <v>6.900000095367432</v>
      </c>
      <c r="G126" s="131">
        <v>16.88000030517578</v>
      </c>
      <c r="H126" s="131">
        <v>71.5999984741211</v>
      </c>
      <c r="I126" s="131">
        <v>20.909666061401367</v>
      </c>
      <c r="J126" s="131">
        <v>7</v>
      </c>
      <c r="K126" s="131">
        <v>0</v>
      </c>
      <c r="L126" s="25">
        <f t="shared" si="7"/>
        <v>22.386163269439102</v>
      </c>
      <c r="M126" s="25">
        <f t="shared" si="8"/>
        <v>9.949391234894765</v>
      </c>
      <c r="N126" s="125">
        <f t="shared" si="9"/>
        <v>6.218386017272168</v>
      </c>
    </row>
    <row r="127" spans="2:14" ht="12.75">
      <c r="B127" s="124"/>
      <c r="C127" s="124" t="str">
        <f t="shared" si="11"/>
        <v>May</v>
      </c>
      <c r="D127" s="125">
        <f t="shared" si="6"/>
        <v>16.250000476837158</v>
      </c>
      <c r="E127" s="131">
        <v>24.200000762939453</v>
      </c>
      <c r="F127" s="131">
        <v>8.300000190734863</v>
      </c>
      <c r="G127" s="131">
        <v>0</v>
      </c>
      <c r="H127" s="131">
        <v>124.0999984741211</v>
      </c>
      <c r="I127" s="131">
        <v>28.213226318359375</v>
      </c>
      <c r="J127" s="131">
        <v>0</v>
      </c>
      <c r="K127" s="131">
        <v>0</v>
      </c>
      <c r="L127" s="25">
        <f t="shared" si="7"/>
        <v>30.195476210578164</v>
      </c>
      <c r="M127" s="25">
        <f t="shared" si="8"/>
        <v>10.948132070402389</v>
      </c>
      <c r="N127" s="125">
        <f t="shared" si="9"/>
        <v>9.623672070087888</v>
      </c>
    </row>
    <row r="128" spans="2:14" ht="12.75">
      <c r="B128" s="124"/>
      <c r="C128" s="124" t="str">
        <f t="shared" si="11"/>
        <v>June</v>
      </c>
      <c r="D128" s="125">
        <f t="shared" si="6"/>
        <v>18.5</v>
      </c>
      <c r="E128" s="131">
        <v>24.100000381469727</v>
      </c>
      <c r="F128" s="131">
        <v>12.899999618530273</v>
      </c>
      <c r="G128" s="131">
        <v>5.040000152587891</v>
      </c>
      <c r="H128" s="131">
        <v>92.9000015258789</v>
      </c>
      <c r="I128" s="131">
        <v>28.406333923339844</v>
      </c>
      <c r="J128" s="131">
        <v>3</v>
      </c>
      <c r="K128" s="131">
        <v>0</v>
      </c>
      <c r="L128" s="25">
        <f t="shared" si="7"/>
        <v>30.014995811927715</v>
      </c>
      <c r="M128" s="25">
        <f t="shared" si="8"/>
        <v>14.878760458600278</v>
      </c>
      <c r="N128" s="125">
        <f t="shared" si="9"/>
        <v>7.568117676663719</v>
      </c>
    </row>
    <row r="129" spans="2:14" ht="12.75">
      <c r="B129" s="124"/>
      <c r="C129" s="124" t="str">
        <f t="shared" si="11"/>
        <v>July</v>
      </c>
      <c r="D129" s="125">
        <f t="shared" si="6"/>
        <v>21.000000476837158</v>
      </c>
      <c r="E129" s="131">
        <v>27.200000762939453</v>
      </c>
      <c r="F129" s="131">
        <v>14.800000190734863</v>
      </c>
      <c r="G129" s="131">
        <v>3.1200000762939455</v>
      </c>
      <c r="H129" s="131">
        <v>103.80000305175781</v>
      </c>
      <c r="I129" s="131">
        <v>27.716773986816406</v>
      </c>
      <c r="J129" s="131">
        <v>2</v>
      </c>
      <c r="K129" s="131">
        <v>0</v>
      </c>
      <c r="L129" s="25">
        <f t="shared" si="7"/>
        <v>36.068994071010884</v>
      </c>
      <c r="M129" s="25">
        <f t="shared" si="8"/>
        <v>16.833575963888826</v>
      </c>
      <c r="N129" s="125">
        <f t="shared" si="9"/>
        <v>9.617709053561029</v>
      </c>
    </row>
    <row r="130" spans="2:14" ht="12.75">
      <c r="B130" s="124"/>
      <c r="C130" s="124" t="str">
        <f t="shared" si="11"/>
        <v>Aug</v>
      </c>
      <c r="D130" s="125">
        <f t="shared" si="6"/>
        <v>21.299999713897705</v>
      </c>
      <c r="E130" s="131">
        <v>27.899999618530273</v>
      </c>
      <c r="F130" s="131">
        <v>14.699999809265137</v>
      </c>
      <c r="G130" s="131">
        <v>58.64000244140625</v>
      </c>
      <c r="H130" s="131">
        <v>95.0999984741211</v>
      </c>
      <c r="I130" s="131">
        <v>24.67483901977539</v>
      </c>
      <c r="J130" s="131">
        <v>5</v>
      </c>
      <c r="K130" s="131">
        <v>0</v>
      </c>
      <c r="L130" s="25">
        <f t="shared" si="7"/>
        <v>37.574586573162534</v>
      </c>
      <c r="M130" s="25">
        <f t="shared" si="8"/>
        <v>16.72534048915564</v>
      </c>
      <c r="N130" s="125">
        <f t="shared" si="9"/>
        <v>10.424623042003446</v>
      </c>
    </row>
    <row r="131" spans="2:14" ht="12.75">
      <c r="B131" s="124"/>
      <c r="C131" s="124" t="str">
        <f t="shared" si="11"/>
        <v>Sep</v>
      </c>
      <c r="D131" s="125">
        <f aca="true" t="shared" si="12" ref="D131:D194">(E131+F131)/2</f>
        <v>19.749999523162842</v>
      </c>
      <c r="E131" s="131">
        <v>25.299999237060547</v>
      </c>
      <c r="F131" s="131">
        <v>14.199999809265137</v>
      </c>
      <c r="G131" s="131">
        <v>46.879998779296876</v>
      </c>
      <c r="H131" s="131">
        <v>57.599998474121094</v>
      </c>
      <c r="I131" s="131">
        <v>19.142000198364258</v>
      </c>
      <c r="J131" s="131">
        <v>7</v>
      </c>
      <c r="K131" s="131">
        <v>0</v>
      </c>
      <c r="L131" s="25">
        <f t="shared" si="7"/>
        <v>32.244111824970304</v>
      </c>
      <c r="M131" s="25">
        <f t="shared" si="8"/>
        <v>16.19326890763327</v>
      </c>
      <c r="N131" s="125">
        <f t="shared" si="9"/>
        <v>8.025421458668516</v>
      </c>
    </row>
    <row r="132" spans="2:14" ht="12.75">
      <c r="B132" s="124"/>
      <c r="C132" s="124" t="str">
        <f t="shared" si="11"/>
        <v>Oct</v>
      </c>
      <c r="D132" s="125">
        <f t="shared" si="12"/>
        <v>14.550000190734863</v>
      </c>
      <c r="E132" s="131">
        <v>20.100000381469727</v>
      </c>
      <c r="F132" s="131">
        <v>9</v>
      </c>
      <c r="G132" s="131">
        <v>64.15999755859376</v>
      </c>
      <c r="H132" s="131">
        <v>48.599998474121094</v>
      </c>
      <c r="I132" s="131">
        <v>12.626309394836426</v>
      </c>
      <c r="J132" s="131">
        <v>11</v>
      </c>
      <c r="K132" s="131">
        <v>0</v>
      </c>
      <c r="L132" s="25">
        <f aca="true" t="shared" si="13" ref="L132:L195">6.1078*EXP(17.269*E132/(237.3+E132))</f>
        <v>23.525344314713216</v>
      </c>
      <c r="M132" s="25">
        <f aca="true" t="shared" si="14" ref="M132:M195">6.1078*EXP(17.269*F132/(237.3+F132))</f>
        <v>11.479809370392651</v>
      </c>
      <c r="N132" s="125">
        <f aca="true" t="shared" si="15" ref="N132:N195">(L132-M132)/2</f>
        <v>6.022767472160282</v>
      </c>
    </row>
    <row r="133" spans="2:14" ht="12.75">
      <c r="B133" s="124"/>
      <c r="C133" s="124" t="str">
        <f t="shared" si="11"/>
        <v>Nov</v>
      </c>
      <c r="D133" s="125">
        <f t="shared" si="12"/>
        <v>11.899999856948853</v>
      </c>
      <c r="E133" s="131">
        <v>17.399999618530273</v>
      </c>
      <c r="F133" s="131">
        <v>6.400000095367432</v>
      </c>
      <c r="G133" s="131">
        <v>57.04000244140625</v>
      </c>
      <c r="H133" s="131">
        <v>54.20000076293945</v>
      </c>
      <c r="I133" s="131">
        <v>8.881667137145996</v>
      </c>
      <c r="J133" s="131">
        <v>10</v>
      </c>
      <c r="K133" s="131">
        <v>2</v>
      </c>
      <c r="L133" s="25">
        <f t="shared" si="13"/>
        <v>19.871963045186586</v>
      </c>
      <c r="M133" s="25">
        <f t="shared" si="14"/>
        <v>9.612666221343247</v>
      </c>
      <c r="N133" s="125">
        <f t="shared" si="15"/>
        <v>5.12964841192167</v>
      </c>
    </row>
    <row r="134" spans="2:14" ht="12.75">
      <c r="B134" s="124"/>
      <c r="C134" s="124" t="str">
        <f t="shared" si="11"/>
        <v>Dec</v>
      </c>
      <c r="D134" s="125">
        <f t="shared" si="12"/>
        <v>10.550000190734863</v>
      </c>
      <c r="E134" s="131">
        <v>16.600000381469727</v>
      </c>
      <c r="F134" s="131">
        <v>4.5</v>
      </c>
      <c r="G134" s="131">
        <v>36.720001220703125</v>
      </c>
      <c r="H134" s="131">
        <v>42.900001525878906</v>
      </c>
      <c r="I134" s="131">
        <v>7.576128959655762</v>
      </c>
      <c r="J134" s="131">
        <v>8</v>
      </c>
      <c r="K134" s="131">
        <v>10</v>
      </c>
      <c r="L134" s="25">
        <f t="shared" si="13"/>
        <v>18.889668103409804</v>
      </c>
      <c r="M134" s="25">
        <f t="shared" si="14"/>
        <v>8.422864881293139</v>
      </c>
      <c r="N134" s="125">
        <f t="shared" si="15"/>
        <v>5.233401611058333</v>
      </c>
    </row>
    <row r="135" spans="2:14" ht="12.75">
      <c r="B135" s="124">
        <f>B123+1</f>
        <v>1992</v>
      </c>
      <c r="C135" s="124" t="str">
        <f aca="true" t="shared" si="16" ref="C135:C166">C123</f>
        <v>Jan</v>
      </c>
      <c r="D135" s="125">
        <f t="shared" si="12"/>
        <v>7.900000214576721</v>
      </c>
      <c r="E135" s="131">
        <v>14.600000381469727</v>
      </c>
      <c r="F135" s="131">
        <v>1.2000000476837158</v>
      </c>
      <c r="G135" s="131">
        <v>35.6</v>
      </c>
      <c r="H135" s="131">
        <v>61.20000076293945</v>
      </c>
      <c r="I135" s="131">
        <v>7.947720050811768</v>
      </c>
      <c r="J135" s="131">
        <v>5</v>
      </c>
      <c r="K135" s="131">
        <v>17</v>
      </c>
      <c r="L135" s="25">
        <f t="shared" si="13"/>
        <v>16.61771685584246</v>
      </c>
      <c r="M135" s="25">
        <f t="shared" si="14"/>
        <v>6.662232886646123</v>
      </c>
      <c r="N135" s="125">
        <f t="shared" si="15"/>
        <v>4.977741984598168</v>
      </c>
    </row>
    <row r="136" spans="2:14" ht="12.75">
      <c r="B136" s="124"/>
      <c r="C136" s="124" t="str">
        <f t="shared" si="16"/>
        <v>Feb</v>
      </c>
      <c r="D136" s="125">
        <f t="shared" si="12"/>
        <v>9.550000369548798</v>
      </c>
      <c r="E136" s="131">
        <v>17.200000762939453</v>
      </c>
      <c r="F136" s="131">
        <v>1.899999976158142</v>
      </c>
      <c r="G136" s="131">
        <v>20.4</v>
      </c>
      <c r="H136" s="131">
        <v>61.29999923706055</v>
      </c>
      <c r="I136" s="131">
        <v>10.81394100189209</v>
      </c>
      <c r="J136" s="131">
        <v>4</v>
      </c>
      <c r="K136" s="131">
        <v>7</v>
      </c>
      <c r="L136" s="25">
        <f t="shared" si="13"/>
        <v>19.62228875979055</v>
      </c>
      <c r="M136" s="25">
        <f t="shared" si="14"/>
        <v>7.005788890659067</v>
      </c>
      <c r="N136" s="125">
        <f t="shared" si="15"/>
        <v>6.308249934565741</v>
      </c>
    </row>
    <row r="137" spans="2:14" ht="12.75">
      <c r="B137" s="124"/>
      <c r="C137" s="124" t="str">
        <f t="shared" si="16"/>
        <v>March</v>
      </c>
      <c r="D137" s="125">
        <f t="shared" si="12"/>
        <v>13.150000095367432</v>
      </c>
      <c r="E137" s="131">
        <v>19.100000381469727</v>
      </c>
      <c r="F137" s="131">
        <v>7.199999809265137</v>
      </c>
      <c r="G137" s="131">
        <v>18</v>
      </c>
      <c r="H137" s="131">
        <v>76.69999694824219</v>
      </c>
      <c r="I137" s="131">
        <v>15.477620124816895</v>
      </c>
      <c r="J137" s="131">
        <v>5</v>
      </c>
      <c r="K137" s="131">
        <v>0</v>
      </c>
      <c r="L137" s="25">
        <f t="shared" si="13"/>
        <v>22.109025822978992</v>
      </c>
      <c r="M137" s="25">
        <f t="shared" si="14"/>
        <v>10.156375121689901</v>
      </c>
      <c r="N137" s="125">
        <f t="shared" si="15"/>
        <v>5.9763253506445455</v>
      </c>
    </row>
    <row r="138" spans="2:14" ht="12.75">
      <c r="B138" s="124"/>
      <c r="C138" s="124" t="str">
        <f t="shared" si="16"/>
        <v>April</v>
      </c>
      <c r="D138" s="125">
        <f t="shared" si="12"/>
        <v>13.999999523162842</v>
      </c>
      <c r="E138" s="131">
        <v>19.799999237060547</v>
      </c>
      <c r="F138" s="131">
        <v>8.199999809265137</v>
      </c>
      <c r="G138" s="131">
        <v>60.15999755859375</v>
      </c>
      <c r="H138" s="131">
        <v>69.19999694824219</v>
      </c>
      <c r="I138" s="131">
        <v>18.618253707885742</v>
      </c>
      <c r="J138" s="131">
        <v>6</v>
      </c>
      <c r="K138" s="131">
        <v>0</v>
      </c>
      <c r="L138" s="25">
        <f t="shared" si="13"/>
        <v>23.09234670950044</v>
      </c>
      <c r="M138" s="25">
        <f t="shared" si="14"/>
        <v>10.873975140251524</v>
      </c>
      <c r="N138" s="125">
        <f t="shared" si="15"/>
        <v>6.109185784624458</v>
      </c>
    </row>
    <row r="139" spans="2:14" ht="12.75">
      <c r="B139" s="124"/>
      <c r="C139" s="124" t="str">
        <f t="shared" si="16"/>
        <v>May</v>
      </c>
      <c r="D139" s="125">
        <f t="shared" si="12"/>
        <v>16.800000190734863</v>
      </c>
      <c r="E139" s="131">
        <v>23.700000762939453</v>
      </c>
      <c r="F139" s="131">
        <v>9.899999618530273</v>
      </c>
      <c r="G139" s="131">
        <v>40.4</v>
      </c>
      <c r="H139" s="131">
        <v>95.4000015258789</v>
      </c>
      <c r="I139" s="131">
        <v>22.955364227294922</v>
      </c>
      <c r="J139" s="131">
        <v>5</v>
      </c>
      <c r="K139" s="131">
        <v>0</v>
      </c>
      <c r="L139" s="25">
        <f t="shared" si="13"/>
        <v>29.302454577051467</v>
      </c>
      <c r="M139" s="25">
        <f t="shared" si="14"/>
        <v>12.196693839701425</v>
      </c>
      <c r="N139" s="125">
        <f t="shared" si="15"/>
        <v>8.552880368675021</v>
      </c>
    </row>
    <row r="140" spans="2:14" ht="12.75">
      <c r="B140" s="124"/>
      <c r="C140" s="124" t="str">
        <f t="shared" si="16"/>
        <v>June</v>
      </c>
      <c r="D140" s="125">
        <f t="shared" si="12"/>
        <v>17.25</v>
      </c>
      <c r="E140" s="131">
        <v>22</v>
      </c>
      <c r="F140" s="131">
        <v>12.5</v>
      </c>
      <c r="G140" s="131">
        <v>41.03999938964844</v>
      </c>
      <c r="H140" s="131">
        <v>61.400001525878906</v>
      </c>
      <c r="I140" s="131">
        <v>25.878089904785156</v>
      </c>
      <c r="J140" s="131">
        <v>11</v>
      </c>
      <c r="K140" s="131">
        <v>0</v>
      </c>
      <c r="L140" s="25">
        <f t="shared" si="13"/>
        <v>26.436203151442896</v>
      </c>
      <c r="M140" s="25">
        <f t="shared" si="14"/>
        <v>14.49361135209776</v>
      </c>
      <c r="N140" s="125">
        <f t="shared" si="15"/>
        <v>5.971295899672568</v>
      </c>
    </row>
    <row r="141" spans="2:14" ht="12.75">
      <c r="B141" s="124"/>
      <c r="C141" s="124" t="str">
        <f t="shared" si="16"/>
        <v>July</v>
      </c>
      <c r="D141" s="125">
        <f t="shared" si="12"/>
        <v>20.59999990463257</v>
      </c>
      <c r="E141" s="131">
        <v>25.899999618530273</v>
      </c>
      <c r="F141" s="131">
        <v>15.300000190734863</v>
      </c>
      <c r="G141" s="131">
        <v>0</v>
      </c>
      <c r="H141" s="131">
        <v>89</v>
      </c>
      <c r="I141" s="131">
        <v>26.342910766601562</v>
      </c>
      <c r="J141" s="131">
        <v>0</v>
      </c>
      <c r="K141" s="131">
        <v>0</v>
      </c>
      <c r="L141" s="25">
        <f t="shared" si="13"/>
        <v>33.41181919227695</v>
      </c>
      <c r="M141" s="25">
        <f t="shared" si="14"/>
        <v>17.38401691018374</v>
      </c>
      <c r="N141" s="125">
        <f t="shared" si="15"/>
        <v>8.013901141046606</v>
      </c>
    </row>
    <row r="142" spans="2:14" ht="12.75">
      <c r="B142" s="124"/>
      <c r="C142" s="124" t="str">
        <f t="shared" si="16"/>
        <v>Aug</v>
      </c>
      <c r="D142" s="125">
        <f t="shared" si="12"/>
        <v>20.699999809265137</v>
      </c>
      <c r="E142" s="131">
        <v>26.399999618530273</v>
      </c>
      <c r="F142" s="131">
        <v>15</v>
      </c>
      <c r="G142" s="131">
        <v>21.11999969482422</v>
      </c>
      <c r="H142" s="131">
        <v>86.30000305175781</v>
      </c>
      <c r="I142" s="131">
        <v>24.14462661743164</v>
      </c>
      <c r="J142" s="131">
        <v>3</v>
      </c>
      <c r="K142" s="131">
        <v>0</v>
      </c>
      <c r="L142" s="25">
        <f t="shared" si="13"/>
        <v>34.41289123153068</v>
      </c>
      <c r="M142" s="25">
        <f t="shared" si="14"/>
        <v>17.05189010686335</v>
      </c>
      <c r="N142" s="125">
        <f t="shared" si="15"/>
        <v>8.680500562333664</v>
      </c>
    </row>
    <row r="143" spans="2:14" ht="12.75">
      <c r="B143" s="124"/>
      <c r="C143" s="124" t="str">
        <f t="shared" si="16"/>
        <v>Sep</v>
      </c>
      <c r="D143" s="125">
        <f t="shared" si="12"/>
        <v>17.84999990463257</v>
      </c>
      <c r="E143" s="131">
        <v>24</v>
      </c>
      <c r="F143" s="131">
        <v>11.699999809265137</v>
      </c>
      <c r="G143" s="131">
        <v>33.83999938964844</v>
      </c>
      <c r="H143" s="131">
        <v>68</v>
      </c>
      <c r="I143" s="131">
        <v>18.35765266418457</v>
      </c>
      <c r="J143" s="131">
        <v>4</v>
      </c>
      <c r="K143" s="131">
        <v>0</v>
      </c>
      <c r="L143" s="25">
        <f t="shared" si="13"/>
        <v>29.835457253079163</v>
      </c>
      <c r="M143" s="25">
        <f t="shared" si="14"/>
        <v>13.749487765911553</v>
      </c>
      <c r="N143" s="125">
        <f t="shared" si="15"/>
        <v>8.042984743583805</v>
      </c>
    </row>
    <row r="144" spans="2:14" ht="12.75">
      <c r="B144" s="124"/>
      <c r="C144" s="124" t="str">
        <f t="shared" si="16"/>
        <v>Oct</v>
      </c>
      <c r="D144" s="125">
        <f t="shared" si="12"/>
        <v>14</v>
      </c>
      <c r="E144" s="131">
        <v>19.100000381469727</v>
      </c>
      <c r="F144" s="131">
        <v>8.899999618530273</v>
      </c>
      <c r="G144" s="131">
        <v>66.47999877929688</v>
      </c>
      <c r="H144" s="131">
        <v>38.70000076293945</v>
      </c>
      <c r="I144" s="131">
        <v>12.626309394836426</v>
      </c>
      <c r="J144" s="131">
        <v>12</v>
      </c>
      <c r="K144" s="131">
        <v>0</v>
      </c>
      <c r="L144" s="25">
        <f t="shared" si="13"/>
        <v>22.109025822978992</v>
      </c>
      <c r="M144" s="25">
        <f t="shared" si="14"/>
        <v>11.402491094690165</v>
      </c>
      <c r="N144" s="125">
        <f t="shared" si="15"/>
        <v>5.353267364144414</v>
      </c>
    </row>
    <row r="145" spans="2:14" ht="12.75">
      <c r="B145" s="124"/>
      <c r="C145" s="124" t="str">
        <f t="shared" si="16"/>
        <v>Nov</v>
      </c>
      <c r="D145" s="125">
        <f t="shared" si="12"/>
        <v>13.599999904632568</v>
      </c>
      <c r="E145" s="131">
        <v>18.899999618530273</v>
      </c>
      <c r="F145" s="131">
        <v>8.300000190734863</v>
      </c>
      <c r="G145" s="131">
        <v>22.880000305175784</v>
      </c>
      <c r="H145" s="131">
        <v>28.200000762939453</v>
      </c>
      <c r="I145" s="131">
        <v>8.680642127990723</v>
      </c>
      <c r="J145" s="131">
        <v>6</v>
      </c>
      <c r="K145" s="131">
        <v>0</v>
      </c>
      <c r="L145" s="25">
        <f t="shared" si="13"/>
        <v>21.834892027836773</v>
      </c>
      <c r="M145" s="25">
        <f t="shared" si="14"/>
        <v>10.948132070402389</v>
      </c>
      <c r="N145" s="125">
        <f t="shared" si="15"/>
        <v>5.443379978717192</v>
      </c>
    </row>
    <row r="146" spans="2:14" ht="12.75">
      <c r="B146" s="124"/>
      <c r="C146" s="124" t="str">
        <f t="shared" si="16"/>
        <v>Dec</v>
      </c>
      <c r="D146" s="125">
        <f t="shared" si="12"/>
        <v>11.40000033378601</v>
      </c>
      <c r="E146" s="131">
        <v>16.200000762939453</v>
      </c>
      <c r="F146" s="131">
        <v>6.599999904632568</v>
      </c>
      <c r="G146" s="131">
        <v>64.47999877929688</v>
      </c>
      <c r="H146" s="131">
        <v>47.5</v>
      </c>
      <c r="I146" s="131">
        <v>6.731121063232422</v>
      </c>
      <c r="J146" s="131">
        <v>12</v>
      </c>
      <c r="K146" s="131">
        <v>4</v>
      </c>
      <c r="L146" s="25">
        <f t="shared" si="13"/>
        <v>18.414672339690902</v>
      </c>
      <c r="M146" s="25">
        <f t="shared" si="14"/>
        <v>9.746131619888772</v>
      </c>
      <c r="N146" s="125">
        <f t="shared" si="15"/>
        <v>4.3342703599010655</v>
      </c>
    </row>
    <row r="147" spans="2:14" ht="12.75">
      <c r="B147" s="124">
        <f>B135+1</f>
        <v>1993</v>
      </c>
      <c r="C147" s="124" t="str">
        <f t="shared" si="16"/>
        <v>Jan</v>
      </c>
      <c r="D147" s="125">
        <f t="shared" si="12"/>
        <v>8.799999833106995</v>
      </c>
      <c r="E147" s="131">
        <v>15.899999618530273</v>
      </c>
      <c r="F147" s="131">
        <v>1.7000000476837158</v>
      </c>
      <c r="G147" s="131">
        <v>36.879998779296876</v>
      </c>
      <c r="H147" s="131">
        <v>38.70000076293945</v>
      </c>
      <c r="I147" s="131">
        <v>7.947720050811768</v>
      </c>
      <c r="J147" s="131">
        <v>4</v>
      </c>
      <c r="K147" s="131">
        <v>15</v>
      </c>
      <c r="L147" s="25">
        <f t="shared" si="13"/>
        <v>18.06532479379342</v>
      </c>
      <c r="M147" s="25">
        <f t="shared" si="14"/>
        <v>6.906068635928697</v>
      </c>
      <c r="N147" s="125">
        <f t="shared" si="15"/>
        <v>5.579628078932361</v>
      </c>
    </row>
    <row r="148" spans="2:14" ht="12.75">
      <c r="B148" s="124"/>
      <c r="C148" s="124" t="str">
        <f t="shared" si="16"/>
        <v>Feb</v>
      </c>
      <c r="D148" s="125">
        <f t="shared" si="12"/>
        <v>10.399999618530273</v>
      </c>
      <c r="E148" s="131">
        <v>17.299999237060547</v>
      </c>
      <c r="F148" s="131">
        <v>3.5</v>
      </c>
      <c r="G148" s="131">
        <v>35.6</v>
      </c>
      <c r="H148" s="131">
        <v>69.5999984741211</v>
      </c>
      <c r="I148" s="131">
        <v>10.81394100189209</v>
      </c>
      <c r="J148" s="131">
        <v>2</v>
      </c>
      <c r="K148" s="131">
        <v>11</v>
      </c>
      <c r="L148" s="25">
        <f t="shared" si="13"/>
        <v>19.74677914314186</v>
      </c>
      <c r="M148" s="25">
        <f t="shared" si="14"/>
        <v>7.850439754090702</v>
      </c>
      <c r="N148" s="125">
        <f t="shared" si="15"/>
        <v>5.94816969452558</v>
      </c>
    </row>
    <row r="149" spans="2:14" ht="12.75">
      <c r="B149" s="124"/>
      <c r="C149" s="124" t="str">
        <f t="shared" si="16"/>
        <v>March</v>
      </c>
      <c r="D149" s="125">
        <f t="shared" si="12"/>
        <v>12.349999904632568</v>
      </c>
      <c r="E149" s="131">
        <v>18.5</v>
      </c>
      <c r="F149" s="131">
        <v>6.199999809265137</v>
      </c>
      <c r="G149" s="131">
        <v>41.6</v>
      </c>
      <c r="H149" s="131">
        <v>72.9000015258789</v>
      </c>
      <c r="I149" s="131">
        <v>15.477620124816895</v>
      </c>
      <c r="J149" s="131">
        <v>7</v>
      </c>
      <c r="K149" s="131">
        <v>4</v>
      </c>
      <c r="L149" s="25">
        <f t="shared" si="13"/>
        <v>21.295535465661136</v>
      </c>
      <c r="M149" s="25">
        <f t="shared" si="14"/>
        <v>9.480813458603333</v>
      </c>
      <c r="N149" s="125">
        <f t="shared" si="15"/>
        <v>5.9073610035289015</v>
      </c>
    </row>
    <row r="150" spans="2:14" ht="12.75">
      <c r="B150" s="124"/>
      <c r="C150" s="124" t="str">
        <f t="shared" si="16"/>
        <v>April</v>
      </c>
      <c r="D150" s="125">
        <f t="shared" si="12"/>
        <v>12.600000381469727</v>
      </c>
      <c r="E150" s="131">
        <v>18.200000762939453</v>
      </c>
      <c r="F150" s="131">
        <v>7</v>
      </c>
      <c r="G150" s="131">
        <v>101.52000122070314</v>
      </c>
      <c r="H150" s="131">
        <v>56</v>
      </c>
      <c r="I150" s="131">
        <v>18.618253707885742</v>
      </c>
      <c r="J150" s="131">
        <v>17</v>
      </c>
      <c r="K150" s="131">
        <v>0</v>
      </c>
      <c r="L150" s="25">
        <f t="shared" si="13"/>
        <v>20.898705906746393</v>
      </c>
      <c r="M150" s="25">
        <f t="shared" si="14"/>
        <v>10.01796915987648</v>
      </c>
      <c r="N150" s="125">
        <f t="shared" si="15"/>
        <v>5.440368373434956</v>
      </c>
    </row>
    <row r="151" spans="2:14" ht="12.75">
      <c r="B151" s="124"/>
      <c r="C151" s="124" t="str">
        <f t="shared" si="16"/>
        <v>May</v>
      </c>
      <c r="D151" s="125">
        <f t="shared" si="12"/>
        <v>14.949999809265137</v>
      </c>
      <c r="E151" s="131">
        <v>19.899999618530273</v>
      </c>
      <c r="F151" s="131">
        <v>10</v>
      </c>
      <c r="G151" s="131">
        <v>66.64000244140625</v>
      </c>
      <c r="H151" s="131">
        <v>53.099998474121094</v>
      </c>
      <c r="I151" s="131">
        <v>22.955364227294922</v>
      </c>
      <c r="J151" s="131">
        <v>17</v>
      </c>
      <c r="K151" s="131">
        <v>0</v>
      </c>
      <c r="L151" s="25">
        <f t="shared" si="13"/>
        <v>23.235898299971275</v>
      </c>
      <c r="M151" s="25">
        <f t="shared" si="14"/>
        <v>12.27872758855564</v>
      </c>
      <c r="N151" s="125">
        <f t="shared" si="15"/>
        <v>5.478585355707818</v>
      </c>
    </row>
    <row r="152" spans="2:14" ht="12.75">
      <c r="B152" s="124"/>
      <c r="C152" s="124" t="str">
        <f t="shared" si="16"/>
        <v>June</v>
      </c>
      <c r="D152" s="125">
        <f t="shared" si="12"/>
        <v>18.449999809265137</v>
      </c>
      <c r="E152" s="131">
        <v>24.5</v>
      </c>
      <c r="F152" s="131">
        <v>12.399999618530273</v>
      </c>
      <c r="G152" s="131">
        <v>14.239999389648439</v>
      </c>
      <c r="H152" s="131">
        <v>67.30000305175781</v>
      </c>
      <c r="I152" s="131">
        <v>25.878089904785156</v>
      </c>
      <c r="J152" s="131">
        <v>5</v>
      </c>
      <c r="K152" s="131">
        <v>0</v>
      </c>
      <c r="L152" s="25">
        <f t="shared" si="13"/>
        <v>30.74260663097627</v>
      </c>
      <c r="M152" s="25">
        <f t="shared" si="14"/>
        <v>14.398702575352115</v>
      </c>
      <c r="N152" s="125">
        <f t="shared" si="15"/>
        <v>8.171952027812077</v>
      </c>
    </row>
    <row r="153" spans="2:14" ht="12.75">
      <c r="B153" s="124"/>
      <c r="C153" s="124" t="str">
        <f t="shared" si="16"/>
        <v>July</v>
      </c>
      <c r="D153" s="125">
        <f t="shared" si="12"/>
        <v>20.649999618530273</v>
      </c>
      <c r="E153" s="131">
        <v>27.899999618530273</v>
      </c>
      <c r="F153" s="131">
        <v>13.399999618530273</v>
      </c>
      <c r="G153" s="131">
        <v>1.6</v>
      </c>
      <c r="H153" s="131">
        <v>117</v>
      </c>
      <c r="I153" s="131">
        <v>26.342910766601562</v>
      </c>
      <c r="J153" s="131">
        <v>1</v>
      </c>
      <c r="K153" s="131">
        <v>0</v>
      </c>
      <c r="L153" s="25">
        <f t="shared" si="13"/>
        <v>37.574586573162534</v>
      </c>
      <c r="M153" s="25">
        <f t="shared" si="14"/>
        <v>15.372812437338062</v>
      </c>
      <c r="N153" s="125">
        <f t="shared" si="15"/>
        <v>11.100887067912236</v>
      </c>
    </row>
    <row r="154" spans="2:14" ht="12.75">
      <c r="B154" s="124"/>
      <c r="C154" s="124" t="str">
        <f t="shared" si="16"/>
        <v>Aug</v>
      </c>
      <c r="D154" s="125">
        <f t="shared" si="12"/>
        <v>20.25</v>
      </c>
      <c r="E154" s="131">
        <v>27</v>
      </c>
      <c r="F154" s="131">
        <v>13.5</v>
      </c>
      <c r="G154" s="131">
        <v>6.719999694824219</v>
      </c>
      <c r="H154" s="131">
        <v>82.0999984741211</v>
      </c>
      <c r="I154" s="131">
        <v>24.14462661743164</v>
      </c>
      <c r="J154" s="131">
        <v>2</v>
      </c>
      <c r="K154" s="131">
        <v>0</v>
      </c>
      <c r="L154" s="25">
        <f t="shared" si="13"/>
        <v>35.648592398728994</v>
      </c>
      <c r="M154" s="25">
        <f t="shared" si="14"/>
        <v>15.47333280888696</v>
      </c>
      <c r="N154" s="125">
        <f t="shared" si="15"/>
        <v>10.087629794921018</v>
      </c>
    </row>
    <row r="155" spans="2:14" ht="12.75">
      <c r="B155" s="124"/>
      <c r="C155" s="124" t="str">
        <f t="shared" si="16"/>
        <v>Sep</v>
      </c>
      <c r="D155" s="125">
        <f t="shared" si="12"/>
        <v>17.09999990463257</v>
      </c>
      <c r="E155" s="131">
        <v>22.5</v>
      </c>
      <c r="F155" s="131">
        <v>11.699999809265137</v>
      </c>
      <c r="G155" s="131">
        <v>86.15999755859376</v>
      </c>
      <c r="H155" s="131">
        <v>59.20000076293945</v>
      </c>
      <c r="I155" s="131">
        <v>18.35765266418457</v>
      </c>
      <c r="J155" s="131">
        <v>13</v>
      </c>
      <c r="K155" s="131">
        <v>0</v>
      </c>
      <c r="L155" s="25">
        <f t="shared" si="13"/>
        <v>27.25262328337081</v>
      </c>
      <c r="M155" s="25">
        <f t="shared" si="14"/>
        <v>13.749487765911553</v>
      </c>
      <c r="N155" s="125">
        <f t="shared" si="15"/>
        <v>6.751567758729628</v>
      </c>
    </row>
    <row r="156" spans="2:14" ht="12.75">
      <c r="B156" s="124"/>
      <c r="C156" s="124" t="str">
        <f t="shared" si="16"/>
        <v>Oct</v>
      </c>
      <c r="D156" s="125">
        <f t="shared" si="12"/>
        <v>14.149999618530273</v>
      </c>
      <c r="E156" s="131">
        <v>19.399999618530273</v>
      </c>
      <c r="F156" s="131">
        <v>8.899999618530273</v>
      </c>
      <c r="G156" s="131">
        <v>144</v>
      </c>
      <c r="H156" s="131">
        <v>51</v>
      </c>
      <c r="I156" s="131">
        <v>12.626309394836426</v>
      </c>
      <c r="J156" s="131">
        <v>15</v>
      </c>
      <c r="K156" s="131">
        <v>0</v>
      </c>
      <c r="L156" s="25">
        <f t="shared" si="13"/>
        <v>22.525869372969083</v>
      </c>
      <c r="M156" s="25">
        <f t="shared" si="14"/>
        <v>11.402491094690165</v>
      </c>
      <c r="N156" s="125">
        <f t="shared" si="15"/>
        <v>5.561689139139459</v>
      </c>
    </row>
    <row r="157" spans="2:14" ht="12.75">
      <c r="B157" s="124"/>
      <c r="C157" s="124" t="str">
        <f t="shared" si="16"/>
        <v>Nov</v>
      </c>
      <c r="D157" s="125">
        <f t="shared" si="12"/>
        <v>11.650000095367432</v>
      </c>
      <c r="E157" s="131">
        <v>17.100000381469727</v>
      </c>
      <c r="F157" s="131">
        <v>6.199999809265137</v>
      </c>
      <c r="G157" s="131">
        <v>147.2800048828125</v>
      </c>
      <c r="H157" s="131">
        <v>30.399999618530273</v>
      </c>
      <c r="I157" s="131">
        <v>8.680642127990723</v>
      </c>
      <c r="J157" s="131">
        <v>13</v>
      </c>
      <c r="K157" s="131">
        <v>4</v>
      </c>
      <c r="L157" s="25">
        <f t="shared" si="13"/>
        <v>19.498483907266383</v>
      </c>
      <c r="M157" s="25">
        <f t="shared" si="14"/>
        <v>9.480813458603333</v>
      </c>
      <c r="N157" s="125">
        <f t="shared" si="15"/>
        <v>5.008835224331525</v>
      </c>
    </row>
    <row r="158" spans="2:14" ht="12.75">
      <c r="B158" s="124"/>
      <c r="C158" s="124" t="str">
        <f t="shared" si="16"/>
        <v>Dec</v>
      </c>
      <c r="D158" s="125">
        <f t="shared" si="12"/>
        <v>11</v>
      </c>
      <c r="E158" s="131">
        <v>15.5</v>
      </c>
      <c r="F158" s="131">
        <v>6.5</v>
      </c>
      <c r="G158" s="131">
        <v>26.879998779296876</v>
      </c>
      <c r="H158" s="131">
        <v>52.099998474121094</v>
      </c>
      <c r="I158" s="131">
        <v>6.731121063232422</v>
      </c>
      <c r="J158" s="131">
        <v>11</v>
      </c>
      <c r="K158" s="131">
        <v>0</v>
      </c>
      <c r="L158" s="25">
        <f t="shared" si="13"/>
        <v>17.60857268023594</v>
      </c>
      <c r="M158" s="25">
        <f t="shared" si="14"/>
        <v>9.67919625189029</v>
      </c>
      <c r="N158" s="125">
        <f t="shared" si="15"/>
        <v>3.964688214172826</v>
      </c>
    </row>
    <row r="159" spans="2:14" ht="12.75">
      <c r="B159" s="124">
        <f>B147+1</f>
        <v>1994</v>
      </c>
      <c r="C159" s="124" t="str">
        <f t="shared" si="16"/>
        <v>Jan</v>
      </c>
      <c r="D159" s="125">
        <f t="shared" si="12"/>
        <v>9.450000047683716</v>
      </c>
      <c r="E159" s="131">
        <v>15</v>
      </c>
      <c r="F159" s="131">
        <v>3.9000000953674316</v>
      </c>
      <c r="G159" s="131">
        <v>88.8</v>
      </c>
      <c r="H159" s="131">
        <v>42.099998474121094</v>
      </c>
      <c r="I159" s="131">
        <v>7.947720050811768</v>
      </c>
      <c r="J159" s="131">
        <v>11</v>
      </c>
      <c r="K159" s="131">
        <v>15</v>
      </c>
      <c r="L159" s="25">
        <f t="shared" si="13"/>
        <v>17.05189010686335</v>
      </c>
      <c r="M159" s="25">
        <f t="shared" si="14"/>
        <v>8.075152658226669</v>
      </c>
      <c r="N159" s="125">
        <f t="shared" si="15"/>
        <v>4.488368724318341</v>
      </c>
    </row>
    <row r="160" spans="2:14" ht="12.75">
      <c r="B160" s="124"/>
      <c r="C160" s="124" t="str">
        <f t="shared" si="16"/>
        <v>Feb</v>
      </c>
      <c r="D160" s="125">
        <f t="shared" si="12"/>
        <v>9.350000143051147</v>
      </c>
      <c r="E160" s="131">
        <v>15.300000190734863</v>
      </c>
      <c r="F160" s="131">
        <v>3.4000000953674316</v>
      </c>
      <c r="G160" s="131">
        <v>117.2800048828125</v>
      </c>
      <c r="H160" s="131">
        <v>54.70000076293945</v>
      </c>
      <c r="I160" s="131">
        <v>10.81394100189209</v>
      </c>
      <c r="J160" s="131">
        <v>15</v>
      </c>
      <c r="K160" s="131">
        <v>7</v>
      </c>
      <c r="L160" s="25">
        <f t="shared" si="13"/>
        <v>17.38401691018374</v>
      </c>
      <c r="M160" s="25">
        <f t="shared" si="14"/>
        <v>7.79513129553432</v>
      </c>
      <c r="N160" s="125">
        <f t="shared" si="15"/>
        <v>4.794442807324709</v>
      </c>
    </row>
    <row r="161" spans="2:14" ht="12.75">
      <c r="B161" s="124"/>
      <c r="C161" s="124" t="str">
        <f t="shared" si="16"/>
        <v>March</v>
      </c>
      <c r="D161" s="125">
        <f t="shared" si="12"/>
        <v>13.850000381469727</v>
      </c>
      <c r="E161" s="131">
        <v>19.700000762939453</v>
      </c>
      <c r="F161" s="131">
        <v>8</v>
      </c>
      <c r="G161" s="131">
        <v>17.439999389648438</v>
      </c>
      <c r="H161" s="131">
        <v>68.80000305175781</v>
      </c>
      <c r="I161" s="131">
        <v>15.477620124816895</v>
      </c>
      <c r="J161" s="131">
        <v>3</v>
      </c>
      <c r="K161" s="131">
        <v>0</v>
      </c>
      <c r="L161" s="25">
        <f t="shared" si="13"/>
        <v>22.949574018262</v>
      </c>
      <c r="M161" s="25">
        <f t="shared" si="14"/>
        <v>10.726987145708597</v>
      </c>
      <c r="N161" s="125">
        <f t="shared" si="15"/>
        <v>6.111293436276701</v>
      </c>
    </row>
    <row r="162" spans="2:14" ht="12.75">
      <c r="B162" s="124"/>
      <c r="C162" s="124" t="str">
        <f t="shared" si="16"/>
        <v>April</v>
      </c>
      <c r="D162" s="125">
        <f t="shared" si="12"/>
        <v>12.399999618530273</v>
      </c>
      <c r="E162" s="131">
        <v>18.799999237060547</v>
      </c>
      <c r="F162" s="131">
        <v>6</v>
      </c>
      <c r="G162" s="131">
        <v>40.16000061035157</v>
      </c>
      <c r="H162" s="131">
        <v>83.19999694824219</v>
      </c>
      <c r="I162" s="131">
        <v>18.618253707885742</v>
      </c>
      <c r="J162" s="131">
        <v>5</v>
      </c>
      <c r="K162" s="131">
        <v>3</v>
      </c>
      <c r="L162" s="25">
        <f t="shared" si="13"/>
        <v>21.69894384383438</v>
      </c>
      <c r="M162" s="25">
        <f t="shared" si="14"/>
        <v>9.350557246136205</v>
      </c>
      <c r="N162" s="125">
        <f t="shared" si="15"/>
        <v>6.174193298849087</v>
      </c>
    </row>
    <row r="163" spans="2:14" ht="12.75">
      <c r="B163" s="124"/>
      <c r="C163" s="124" t="str">
        <f t="shared" si="16"/>
        <v>May</v>
      </c>
      <c r="D163" s="125">
        <f t="shared" si="12"/>
        <v>15</v>
      </c>
      <c r="E163" s="131">
        <v>19.399999618530273</v>
      </c>
      <c r="F163" s="131">
        <v>10.600000381469727</v>
      </c>
      <c r="G163" s="131">
        <v>146.64000244140627</v>
      </c>
      <c r="H163" s="131">
        <v>73.5</v>
      </c>
      <c r="I163" s="131">
        <v>22.955364227294922</v>
      </c>
      <c r="J163" s="131">
        <v>12</v>
      </c>
      <c r="K163" s="131">
        <v>0</v>
      </c>
      <c r="L163" s="25">
        <f t="shared" si="13"/>
        <v>22.525869372969083</v>
      </c>
      <c r="M163" s="25">
        <f t="shared" si="14"/>
        <v>12.781194327512207</v>
      </c>
      <c r="N163" s="125">
        <f t="shared" si="15"/>
        <v>4.872337522728438</v>
      </c>
    </row>
    <row r="164" spans="2:14" ht="12.75">
      <c r="B164" s="124"/>
      <c r="C164" s="124" t="str">
        <f t="shared" si="16"/>
        <v>June</v>
      </c>
      <c r="D164" s="125">
        <f t="shared" si="12"/>
        <v>19.450000286102295</v>
      </c>
      <c r="E164" s="131">
        <v>26.100000381469727</v>
      </c>
      <c r="F164" s="131">
        <v>12.800000190734863</v>
      </c>
      <c r="G164" s="131">
        <v>2.0799999237060547</v>
      </c>
      <c r="H164" s="131">
        <v>133.89999389648438</v>
      </c>
      <c r="I164" s="131">
        <v>25.878089904785156</v>
      </c>
      <c r="J164" s="131">
        <v>2</v>
      </c>
      <c r="K164" s="131">
        <v>0</v>
      </c>
      <c r="L164" s="25">
        <f t="shared" si="13"/>
        <v>33.80916141263848</v>
      </c>
      <c r="M164" s="25">
        <f t="shared" si="14"/>
        <v>14.781640850576382</v>
      </c>
      <c r="N164" s="125">
        <f t="shared" si="15"/>
        <v>9.51376028103105</v>
      </c>
    </row>
    <row r="165" spans="2:14" ht="12.75">
      <c r="B165" s="124"/>
      <c r="C165" s="124" t="str">
        <f t="shared" si="16"/>
        <v>July</v>
      </c>
      <c r="D165" s="125">
        <f t="shared" si="12"/>
        <v>19.5</v>
      </c>
      <c r="E165" s="131">
        <v>23.600000381469727</v>
      </c>
      <c r="F165" s="131">
        <v>15.399999618530273</v>
      </c>
      <c r="G165" s="131">
        <v>4.079999923706055</v>
      </c>
      <c r="H165" s="131">
        <v>102.5999984741211</v>
      </c>
      <c r="I165" s="131">
        <v>26.342910766601562</v>
      </c>
      <c r="J165" s="131">
        <v>1</v>
      </c>
      <c r="K165" s="131">
        <v>0</v>
      </c>
      <c r="L165" s="25">
        <f t="shared" si="13"/>
        <v>29.12664203179622</v>
      </c>
      <c r="M165" s="25">
        <f t="shared" si="14"/>
        <v>17.495978430178916</v>
      </c>
      <c r="N165" s="125">
        <f t="shared" si="15"/>
        <v>5.815331800808652</v>
      </c>
    </row>
    <row r="166" spans="2:14" ht="12.75">
      <c r="B166" s="124"/>
      <c r="C166" s="124" t="str">
        <f t="shared" si="16"/>
        <v>Aug</v>
      </c>
      <c r="D166" s="125">
        <f t="shared" si="12"/>
        <v>19.90000057220459</v>
      </c>
      <c r="E166" s="131">
        <v>24.700000762939453</v>
      </c>
      <c r="F166" s="131">
        <v>15.100000381469727</v>
      </c>
      <c r="G166" s="131">
        <v>4.320000076293946</v>
      </c>
      <c r="H166" s="131">
        <v>97.80000305175781</v>
      </c>
      <c r="I166" s="131">
        <v>24.14462661743164</v>
      </c>
      <c r="J166" s="131">
        <v>2</v>
      </c>
      <c r="K166" s="131">
        <v>0</v>
      </c>
      <c r="L166" s="25">
        <f t="shared" si="13"/>
        <v>31.112148434462092</v>
      </c>
      <c r="M166" s="25">
        <f t="shared" si="14"/>
        <v>17.16197573794844</v>
      </c>
      <c r="N166" s="125">
        <f t="shared" si="15"/>
        <v>6.975086348256827</v>
      </c>
    </row>
    <row r="167" spans="2:14" ht="12.75">
      <c r="B167" s="124"/>
      <c r="C167" s="124" t="str">
        <f>C155</f>
        <v>Sep</v>
      </c>
      <c r="D167" s="125">
        <f t="shared" si="12"/>
        <v>17.050000190734863</v>
      </c>
      <c r="E167" s="131">
        <v>23.700000762939453</v>
      </c>
      <c r="F167" s="131">
        <v>10.399999618530273</v>
      </c>
      <c r="G167" s="131">
        <v>5.520000076293946</v>
      </c>
      <c r="H167" s="131">
        <v>102.69999694824219</v>
      </c>
      <c r="I167" s="131">
        <v>18.35765266418457</v>
      </c>
      <c r="J167" s="131">
        <v>4</v>
      </c>
      <c r="K167" s="131">
        <v>0</v>
      </c>
      <c r="L167" s="25">
        <f t="shared" si="13"/>
        <v>29.302454577051467</v>
      </c>
      <c r="M167" s="25">
        <f t="shared" si="14"/>
        <v>12.611733089473478</v>
      </c>
      <c r="N167" s="125">
        <f t="shared" si="15"/>
        <v>8.345360743788994</v>
      </c>
    </row>
    <row r="168" spans="2:14" ht="12.75">
      <c r="B168" s="124"/>
      <c r="C168" s="124" t="str">
        <f>C156</f>
        <v>Oct</v>
      </c>
      <c r="D168" s="125">
        <f t="shared" si="12"/>
        <v>17.450000286102295</v>
      </c>
      <c r="E168" s="131">
        <v>22.100000381469727</v>
      </c>
      <c r="F168" s="131">
        <v>12.800000190734863</v>
      </c>
      <c r="G168" s="131">
        <v>51.92000122070313</v>
      </c>
      <c r="H168" s="131">
        <v>66.19999694824219</v>
      </c>
      <c r="I168" s="131">
        <v>12.626309394836426</v>
      </c>
      <c r="J168" s="131">
        <v>12</v>
      </c>
      <c r="K168" s="131">
        <v>0</v>
      </c>
      <c r="L168" s="25">
        <f t="shared" si="13"/>
        <v>26.597756815642228</v>
      </c>
      <c r="M168" s="25">
        <f t="shared" si="14"/>
        <v>14.781640850576382</v>
      </c>
      <c r="N168" s="125">
        <f t="shared" si="15"/>
        <v>5.908057982532923</v>
      </c>
    </row>
    <row r="169" spans="2:14" ht="12.75">
      <c r="B169" s="124"/>
      <c r="C169" s="124" t="str">
        <f>C157</f>
        <v>Nov</v>
      </c>
      <c r="D169" s="125">
        <f t="shared" si="12"/>
        <v>13.900000095367432</v>
      </c>
      <c r="E169" s="131">
        <v>19.5</v>
      </c>
      <c r="F169" s="131">
        <v>8.300000190734863</v>
      </c>
      <c r="G169" s="131">
        <v>78.32000122070313</v>
      </c>
      <c r="H169" s="131">
        <v>54.20000076293945</v>
      </c>
      <c r="I169" s="131">
        <v>8.680642127990723</v>
      </c>
      <c r="J169" s="131">
        <v>10</v>
      </c>
      <c r="K169" s="131">
        <v>0</v>
      </c>
      <c r="L169" s="25">
        <f t="shared" si="13"/>
        <v>22.666337519734263</v>
      </c>
      <c r="M169" s="25">
        <f t="shared" si="14"/>
        <v>10.948132070402389</v>
      </c>
      <c r="N169" s="125">
        <f t="shared" si="15"/>
        <v>5.859102724665937</v>
      </c>
    </row>
    <row r="170" spans="2:14" ht="12.75">
      <c r="B170" s="124"/>
      <c r="C170" s="124" t="str">
        <f>C158</f>
        <v>Dec</v>
      </c>
      <c r="D170" s="125">
        <f t="shared" si="12"/>
        <v>11.500000238418579</v>
      </c>
      <c r="E170" s="131">
        <v>16.600000381469727</v>
      </c>
      <c r="F170" s="131">
        <v>6.400000095367432</v>
      </c>
      <c r="G170" s="131">
        <v>23.03999938964844</v>
      </c>
      <c r="H170" s="131">
        <v>52.099998474121094</v>
      </c>
      <c r="I170" s="131">
        <v>6.731121063232422</v>
      </c>
      <c r="J170" s="131">
        <v>8</v>
      </c>
      <c r="K170" s="131">
        <v>2</v>
      </c>
      <c r="L170" s="25">
        <f t="shared" si="13"/>
        <v>18.889668103409804</v>
      </c>
      <c r="M170" s="25">
        <f t="shared" si="14"/>
        <v>9.612666221343247</v>
      </c>
      <c r="N170" s="125">
        <f t="shared" si="15"/>
        <v>4.6385009410332785</v>
      </c>
    </row>
    <row r="171" spans="2:14" ht="12.75">
      <c r="B171" s="124">
        <f>B159+1</f>
        <v>1995</v>
      </c>
      <c r="C171" s="124" t="s">
        <v>274</v>
      </c>
      <c r="D171" s="125">
        <f t="shared" si="12"/>
        <v>10.200000047683716</v>
      </c>
      <c r="E171" s="131">
        <v>15.5</v>
      </c>
      <c r="F171" s="131">
        <v>4.900000095367432</v>
      </c>
      <c r="G171" s="131">
        <v>84.4</v>
      </c>
      <c r="H171" s="131">
        <v>57.79999923706055</v>
      </c>
      <c r="I171" s="131">
        <v>7.947720050811768</v>
      </c>
      <c r="J171" s="131">
        <v>11</v>
      </c>
      <c r="K171" s="131">
        <v>6</v>
      </c>
      <c r="L171" s="25">
        <f t="shared" si="13"/>
        <v>17.60857268023594</v>
      </c>
      <c r="M171" s="25">
        <f t="shared" si="14"/>
        <v>8.66194663460116</v>
      </c>
      <c r="N171" s="125">
        <f t="shared" si="15"/>
        <v>4.473313022817391</v>
      </c>
    </row>
    <row r="172" spans="2:14" ht="12.75">
      <c r="B172" s="124"/>
      <c r="C172" s="124" t="s">
        <v>275</v>
      </c>
      <c r="D172" s="125">
        <f t="shared" si="12"/>
        <v>11.699999809265137</v>
      </c>
      <c r="E172" s="131">
        <v>16.899999618530273</v>
      </c>
      <c r="F172" s="131">
        <v>6.5</v>
      </c>
      <c r="G172" s="131">
        <v>87.12000122070313</v>
      </c>
      <c r="H172" s="131">
        <v>50.29999923706055</v>
      </c>
      <c r="I172" s="131">
        <v>10.81394100189209</v>
      </c>
      <c r="J172" s="131">
        <v>13</v>
      </c>
      <c r="K172" s="131">
        <v>3</v>
      </c>
      <c r="L172" s="25">
        <f t="shared" si="13"/>
        <v>19.25292504323271</v>
      </c>
      <c r="M172" s="25">
        <f t="shared" si="14"/>
        <v>9.67919625189029</v>
      </c>
      <c r="N172" s="125">
        <f t="shared" si="15"/>
        <v>4.786864395671211</v>
      </c>
    </row>
    <row r="173" spans="2:14" ht="12.75">
      <c r="B173" s="124"/>
      <c r="C173" s="124" t="s">
        <v>265</v>
      </c>
      <c r="D173" s="125">
        <f t="shared" si="12"/>
        <v>12.900000095367432</v>
      </c>
      <c r="E173" s="131">
        <v>19.100000381469727</v>
      </c>
      <c r="F173" s="131">
        <v>6.699999809265137</v>
      </c>
      <c r="G173" s="131">
        <v>38.8</v>
      </c>
      <c r="H173" s="131">
        <v>95.4000015258789</v>
      </c>
      <c r="I173" s="131">
        <v>15.477620124816895</v>
      </c>
      <c r="J173" s="131">
        <v>6</v>
      </c>
      <c r="K173" s="131">
        <v>3</v>
      </c>
      <c r="L173" s="25">
        <f t="shared" si="13"/>
        <v>22.109025822978992</v>
      </c>
      <c r="M173" s="25">
        <f t="shared" si="14"/>
        <v>9.813474436884212</v>
      </c>
      <c r="N173" s="125">
        <f t="shared" si="15"/>
        <v>6.14777569304739</v>
      </c>
    </row>
    <row r="174" spans="2:14" ht="12.75">
      <c r="B174" s="124"/>
      <c r="C174" s="124" t="s">
        <v>276</v>
      </c>
      <c r="D174" s="125">
        <f t="shared" si="12"/>
        <v>14.699999809265137</v>
      </c>
      <c r="E174" s="131">
        <v>21</v>
      </c>
      <c r="F174" s="131">
        <v>8.399999618530273</v>
      </c>
      <c r="G174" s="131">
        <v>59.279998779296875</v>
      </c>
      <c r="H174" s="131">
        <v>97.19999694824219</v>
      </c>
      <c r="I174" s="131">
        <v>18.618253707885742</v>
      </c>
      <c r="J174" s="131">
        <v>8</v>
      </c>
      <c r="K174" s="131">
        <v>0</v>
      </c>
      <c r="L174" s="25">
        <f t="shared" si="13"/>
        <v>24.867217821894265</v>
      </c>
      <c r="M174" s="25">
        <f t="shared" si="14"/>
        <v>11.022733030526798</v>
      </c>
      <c r="N174" s="125">
        <f t="shared" si="15"/>
        <v>6.922242395683734</v>
      </c>
    </row>
    <row r="175" spans="2:14" ht="12.75">
      <c r="B175" s="124"/>
      <c r="C175" s="124" t="s">
        <v>277</v>
      </c>
      <c r="D175" s="125">
        <f t="shared" si="12"/>
        <v>17.700000286102295</v>
      </c>
      <c r="E175" s="131">
        <v>22.700000762939453</v>
      </c>
      <c r="F175" s="131">
        <v>12.699999809265137</v>
      </c>
      <c r="G175" s="131">
        <v>9.2</v>
      </c>
      <c r="H175" s="131">
        <v>109.69999694824219</v>
      </c>
      <c r="I175" s="131">
        <v>22.955364227294922</v>
      </c>
      <c r="J175" s="131">
        <v>5</v>
      </c>
      <c r="K175" s="131">
        <v>0</v>
      </c>
      <c r="L175" s="25">
        <f t="shared" si="13"/>
        <v>27.585305667346258</v>
      </c>
      <c r="M175" s="25">
        <f t="shared" si="14"/>
        <v>14.685077327322881</v>
      </c>
      <c r="N175" s="125">
        <f t="shared" si="15"/>
        <v>6.450114170011688</v>
      </c>
    </row>
    <row r="176" spans="2:14" ht="12.75">
      <c r="B176" s="124"/>
      <c r="C176" s="124" t="s">
        <v>278</v>
      </c>
      <c r="D176" s="125">
        <f t="shared" si="12"/>
        <v>18.649999618530273</v>
      </c>
      <c r="E176" s="131">
        <v>23.799999237060547</v>
      </c>
      <c r="F176" s="131">
        <v>13.5</v>
      </c>
      <c r="G176" s="131">
        <v>2.0799999237060547</v>
      </c>
      <c r="H176" s="131">
        <v>109.5</v>
      </c>
      <c r="I176" s="131">
        <v>25.878089904785156</v>
      </c>
      <c r="J176" s="131">
        <v>2</v>
      </c>
      <c r="K176" s="131">
        <v>0</v>
      </c>
      <c r="L176" s="25">
        <f t="shared" si="13"/>
        <v>29.47918908010422</v>
      </c>
      <c r="M176" s="25">
        <f t="shared" si="14"/>
        <v>15.47333280888696</v>
      </c>
      <c r="N176" s="125">
        <f t="shared" si="15"/>
        <v>7.00292813560863</v>
      </c>
    </row>
    <row r="177" spans="2:14" ht="12.75">
      <c r="B177" s="124"/>
      <c r="C177" s="124" t="s">
        <v>279</v>
      </c>
      <c r="D177" s="125">
        <f t="shared" si="12"/>
        <v>21.100000381469727</v>
      </c>
      <c r="E177" s="131">
        <v>26.200000762939453</v>
      </c>
      <c r="F177" s="131">
        <v>16</v>
      </c>
      <c r="G177" s="131">
        <v>0.7199999809265137</v>
      </c>
      <c r="H177" s="131">
        <v>121.4000015258789</v>
      </c>
      <c r="I177" s="131">
        <v>26.342910766601562</v>
      </c>
      <c r="J177" s="131">
        <v>0</v>
      </c>
      <c r="K177" s="131">
        <v>0</v>
      </c>
      <c r="L177" s="25">
        <f t="shared" si="13"/>
        <v>34.00937213369518</v>
      </c>
      <c r="M177" s="25">
        <f t="shared" si="14"/>
        <v>18.181122957281406</v>
      </c>
      <c r="N177" s="125">
        <f t="shared" si="15"/>
        <v>7.914124588206887</v>
      </c>
    </row>
    <row r="178" spans="2:14" ht="12.75">
      <c r="B178" s="124"/>
      <c r="C178" s="124" t="s">
        <v>280</v>
      </c>
      <c r="D178" s="125">
        <f t="shared" si="12"/>
        <v>21.649999618530273</v>
      </c>
      <c r="E178" s="131">
        <v>27.899999618530273</v>
      </c>
      <c r="F178" s="131">
        <v>15.399999618530273</v>
      </c>
      <c r="G178" s="131">
        <v>0.3200000047683716</v>
      </c>
      <c r="H178" s="131">
        <v>131.6999969482422</v>
      </c>
      <c r="I178" s="131">
        <v>24.14462661743164</v>
      </c>
      <c r="J178" s="131">
        <v>0</v>
      </c>
      <c r="K178" s="131">
        <v>0</v>
      </c>
      <c r="L178" s="25">
        <f t="shared" si="13"/>
        <v>37.574586573162534</v>
      </c>
      <c r="M178" s="25">
        <f t="shared" si="14"/>
        <v>17.495978430178916</v>
      </c>
      <c r="N178" s="125">
        <f t="shared" si="15"/>
        <v>10.03930407149181</v>
      </c>
    </row>
    <row r="179" spans="2:14" ht="12.75">
      <c r="B179" s="124"/>
      <c r="C179" s="124" t="s">
        <v>281</v>
      </c>
      <c r="D179" s="125">
        <f t="shared" si="12"/>
        <v>18</v>
      </c>
      <c r="E179" s="131">
        <v>23.600000381469727</v>
      </c>
      <c r="F179" s="131">
        <v>12.399999618530273</v>
      </c>
      <c r="G179" s="131">
        <v>23.6</v>
      </c>
      <c r="H179" s="131">
        <v>97</v>
      </c>
      <c r="I179" s="131">
        <v>18.35765266418457</v>
      </c>
      <c r="J179" s="131">
        <v>6</v>
      </c>
      <c r="K179" s="131">
        <v>0</v>
      </c>
      <c r="L179" s="25">
        <f t="shared" si="13"/>
        <v>29.12664203179622</v>
      </c>
      <c r="M179" s="25">
        <f t="shared" si="14"/>
        <v>14.398702575352115</v>
      </c>
      <c r="N179" s="125">
        <f t="shared" si="15"/>
        <v>7.363969728222052</v>
      </c>
    </row>
    <row r="180" spans="2:14" ht="12.75">
      <c r="B180" s="124"/>
      <c r="C180" s="124" t="s">
        <v>282</v>
      </c>
      <c r="D180" s="125">
        <f t="shared" si="12"/>
        <v>18.5</v>
      </c>
      <c r="E180" s="131">
        <v>25</v>
      </c>
      <c r="F180" s="131">
        <v>12</v>
      </c>
      <c r="G180" s="131">
        <v>42.07999877929688</v>
      </c>
      <c r="H180" s="131">
        <v>77.0999984741211</v>
      </c>
      <c r="I180" s="131">
        <v>12.626309394836426</v>
      </c>
      <c r="J180" s="131">
        <v>6</v>
      </c>
      <c r="K180" s="131">
        <v>0</v>
      </c>
      <c r="L180" s="25">
        <f t="shared" si="13"/>
        <v>31.673720930966624</v>
      </c>
      <c r="M180" s="25">
        <f t="shared" si="14"/>
        <v>14.02450439311913</v>
      </c>
      <c r="N180" s="125">
        <f t="shared" si="15"/>
        <v>8.824608268923747</v>
      </c>
    </row>
    <row r="181" spans="2:14" ht="12.75">
      <c r="B181" s="124"/>
      <c r="C181" s="124" t="s">
        <v>283</v>
      </c>
      <c r="D181" s="125">
        <f t="shared" si="12"/>
        <v>15.550000190734863</v>
      </c>
      <c r="E181" s="131">
        <v>19.5</v>
      </c>
      <c r="F181" s="131">
        <v>11.600000381469727</v>
      </c>
      <c r="G181" s="131">
        <v>131.44000244140625</v>
      </c>
      <c r="H181" s="131">
        <v>47.400001525878906</v>
      </c>
      <c r="I181" s="131">
        <v>8.680642127990723</v>
      </c>
      <c r="J181" s="131">
        <v>16</v>
      </c>
      <c r="K181" s="131">
        <v>0</v>
      </c>
      <c r="L181" s="25">
        <f t="shared" si="13"/>
        <v>22.666337519734263</v>
      </c>
      <c r="M181" s="25">
        <f t="shared" si="14"/>
        <v>13.658874931943691</v>
      </c>
      <c r="N181" s="125">
        <f t="shared" si="15"/>
        <v>4.503731293895286</v>
      </c>
    </row>
    <row r="182" spans="2:14" ht="12.75">
      <c r="B182" s="124"/>
      <c r="C182" s="124" t="s">
        <v>284</v>
      </c>
      <c r="D182" s="125">
        <f t="shared" si="12"/>
        <v>12.650000095367432</v>
      </c>
      <c r="E182" s="131">
        <v>16.100000381469727</v>
      </c>
      <c r="F182" s="131">
        <v>9.199999809265137</v>
      </c>
      <c r="G182" s="131">
        <v>160</v>
      </c>
      <c r="H182" s="131">
        <v>43.70000076293945</v>
      </c>
      <c r="I182" s="131">
        <v>6.731121063232422</v>
      </c>
      <c r="J182" s="131">
        <v>16</v>
      </c>
      <c r="K182" s="131">
        <v>0</v>
      </c>
      <c r="L182" s="25">
        <f t="shared" si="13"/>
        <v>18.29757110766953</v>
      </c>
      <c r="M182" s="25">
        <f t="shared" si="14"/>
        <v>11.635830169099671</v>
      </c>
      <c r="N182" s="125">
        <f t="shared" si="15"/>
        <v>3.330870469284929</v>
      </c>
    </row>
    <row r="183" spans="2:14" ht="12.75">
      <c r="B183" s="124">
        <f>B171+1</f>
        <v>1996</v>
      </c>
      <c r="C183" s="124" t="str">
        <f aca="true" t="shared" si="17" ref="C183:C214">C171</f>
        <v>Jan</v>
      </c>
      <c r="D183" s="125">
        <f t="shared" si="12"/>
        <v>11.550000190734863</v>
      </c>
      <c r="E183" s="131">
        <v>15.100000381469727</v>
      </c>
      <c r="F183" s="131">
        <v>8</v>
      </c>
      <c r="G183" s="131">
        <v>272.4</v>
      </c>
      <c r="H183" s="131">
        <v>41.29999923706055</v>
      </c>
      <c r="I183" s="131">
        <v>7.947720050811768</v>
      </c>
      <c r="J183" s="131">
        <v>24</v>
      </c>
      <c r="K183" s="131">
        <v>0</v>
      </c>
      <c r="L183" s="25">
        <f t="shared" si="13"/>
        <v>17.16197573794844</v>
      </c>
      <c r="M183" s="25">
        <f t="shared" si="14"/>
        <v>10.726987145708597</v>
      </c>
      <c r="N183" s="125">
        <f t="shared" si="15"/>
        <v>3.217494296119921</v>
      </c>
    </row>
    <row r="184" spans="2:14" ht="12.75">
      <c r="B184" s="124"/>
      <c r="C184" s="124" t="str">
        <f t="shared" si="17"/>
        <v>Feb</v>
      </c>
      <c r="D184" s="125">
        <f t="shared" si="12"/>
        <v>9.149999856948853</v>
      </c>
      <c r="E184" s="131">
        <v>14.399999618530273</v>
      </c>
      <c r="F184" s="131">
        <v>3.9000000953674316</v>
      </c>
      <c r="G184" s="131">
        <v>123.68000488281251</v>
      </c>
      <c r="H184" s="131">
        <v>61.29999923706055</v>
      </c>
      <c r="I184" s="131">
        <v>10.81394100189209</v>
      </c>
      <c r="J184" s="131">
        <v>14</v>
      </c>
      <c r="K184" s="131">
        <v>7</v>
      </c>
      <c r="L184" s="25">
        <f t="shared" si="13"/>
        <v>16.404288266264405</v>
      </c>
      <c r="M184" s="25">
        <f t="shared" si="14"/>
        <v>8.075152658226669</v>
      </c>
      <c r="N184" s="125">
        <f t="shared" si="15"/>
        <v>4.164567804018868</v>
      </c>
    </row>
    <row r="185" spans="2:14" ht="12.75">
      <c r="B185" s="124"/>
      <c r="C185" s="124" t="str">
        <f t="shared" si="17"/>
        <v>March</v>
      </c>
      <c r="D185" s="125">
        <f t="shared" si="12"/>
        <v>12.600000143051147</v>
      </c>
      <c r="E185" s="131">
        <v>18.100000381469727</v>
      </c>
      <c r="F185" s="131">
        <v>7.099999904632568</v>
      </c>
      <c r="G185" s="131">
        <v>66.24000244140625</v>
      </c>
      <c r="H185" s="131">
        <v>71.0999984741211</v>
      </c>
      <c r="I185" s="131">
        <v>15.477620124816895</v>
      </c>
      <c r="J185" s="131">
        <v>11</v>
      </c>
      <c r="K185" s="131">
        <v>0</v>
      </c>
      <c r="L185" s="25">
        <f t="shared" si="13"/>
        <v>20.76787473717961</v>
      </c>
      <c r="M185" s="25">
        <f t="shared" si="14"/>
        <v>10.086963069931985</v>
      </c>
      <c r="N185" s="125">
        <f t="shared" si="15"/>
        <v>5.340455833623813</v>
      </c>
    </row>
    <row r="186" spans="2:14" ht="12.75">
      <c r="B186" s="124"/>
      <c r="C186" s="124" t="str">
        <f t="shared" si="17"/>
        <v>April</v>
      </c>
      <c r="D186" s="125">
        <f t="shared" si="12"/>
        <v>14.399999618530273</v>
      </c>
      <c r="E186" s="131">
        <v>19.899999618530273</v>
      </c>
      <c r="F186" s="131">
        <v>8.899999618530273</v>
      </c>
      <c r="G186" s="131">
        <v>23.360000610351562</v>
      </c>
      <c r="H186" s="131">
        <v>73.30000305175781</v>
      </c>
      <c r="I186" s="131">
        <v>18.618253707885742</v>
      </c>
      <c r="J186" s="131">
        <v>6</v>
      </c>
      <c r="K186" s="131">
        <v>0</v>
      </c>
      <c r="L186" s="25">
        <f t="shared" si="13"/>
        <v>23.235898299971275</v>
      </c>
      <c r="M186" s="25">
        <f t="shared" si="14"/>
        <v>11.402491094690165</v>
      </c>
      <c r="N186" s="125">
        <f t="shared" si="15"/>
        <v>5.916703602640555</v>
      </c>
    </row>
    <row r="187" spans="2:14" ht="12.75">
      <c r="B187" s="124"/>
      <c r="C187" s="124" t="str">
        <f t="shared" si="17"/>
        <v>May</v>
      </c>
      <c r="D187" s="125">
        <f t="shared" si="12"/>
        <v>15.449999809265137</v>
      </c>
      <c r="E187" s="131">
        <v>20.299999237060547</v>
      </c>
      <c r="F187" s="131">
        <v>10.600000381469727</v>
      </c>
      <c r="G187" s="131">
        <v>93.52000122070314</v>
      </c>
      <c r="H187" s="131">
        <v>69.0999984741211</v>
      </c>
      <c r="I187" s="131">
        <v>22.955364227294922</v>
      </c>
      <c r="J187" s="131">
        <v>11</v>
      </c>
      <c r="K187" s="131">
        <v>0</v>
      </c>
      <c r="L187" s="25">
        <f t="shared" si="13"/>
        <v>23.81793523955027</v>
      </c>
      <c r="M187" s="25">
        <f t="shared" si="14"/>
        <v>12.781194327512207</v>
      </c>
      <c r="N187" s="125">
        <f t="shared" si="15"/>
        <v>5.518370456019031</v>
      </c>
    </row>
    <row r="188" spans="2:14" ht="12.75">
      <c r="B188" s="124"/>
      <c r="C188" s="124" t="str">
        <f t="shared" si="17"/>
        <v>June</v>
      </c>
      <c r="D188" s="125">
        <f t="shared" si="12"/>
        <v>20.100000381469727</v>
      </c>
      <c r="E188" s="131">
        <v>26.600000381469727</v>
      </c>
      <c r="F188" s="131">
        <v>13.600000381469727</v>
      </c>
      <c r="G188" s="131">
        <v>0</v>
      </c>
      <c r="H188" s="131">
        <v>127.30000305175781</v>
      </c>
      <c r="I188" s="131">
        <v>25.878089904785156</v>
      </c>
      <c r="J188" s="131">
        <v>0</v>
      </c>
      <c r="K188" s="131">
        <v>0</v>
      </c>
      <c r="L188" s="25">
        <f t="shared" si="13"/>
        <v>34.82057943742758</v>
      </c>
      <c r="M188" s="25">
        <f t="shared" si="14"/>
        <v>15.574429552141675</v>
      </c>
      <c r="N188" s="125">
        <f t="shared" si="15"/>
        <v>9.623074942642955</v>
      </c>
    </row>
    <row r="189" spans="2:14" ht="12.75">
      <c r="B189" s="124"/>
      <c r="C189" s="124" t="str">
        <f t="shared" si="17"/>
        <v>July</v>
      </c>
      <c r="D189" s="125">
        <f t="shared" si="12"/>
        <v>20.299999713897705</v>
      </c>
      <c r="E189" s="131">
        <v>25.799999237060547</v>
      </c>
      <c r="F189" s="131">
        <v>14.800000190734863</v>
      </c>
      <c r="G189" s="131">
        <v>4.720000076293945</v>
      </c>
      <c r="H189" s="131">
        <v>113.80000305175781</v>
      </c>
      <c r="I189" s="131">
        <v>26.342910766601562</v>
      </c>
      <c r="J189" s="131">
        <v>2</v>
      </c>
      <c r="K189" s="131">
        <v>0</v>
      </c>
      <c r="L189" s="25">
        <f t="shared" si="13"/>
        <v>33.214678817934434</v>
      </c>
      <c r="M189" s="25">
        <f t="shared" si="14"/>
        <v>16.833575963888826</v>
      </c>
      <c r="N189" s="125">
        <f t="shared" si="15"/>
        <v>8.190551427022804</v>
      </c>
    </row>
    <row r="190" spans="2:14" ht="12.75">
      <c r="B190" s="124"/>
      <c r="C190" s="124" t="str">
        <f t="shared" si="17"/>
        <v>Aug</v>
      </c>
      <c r="D190" s="125">
        <f t="shared" si="12"/>
        <v>20.200000286102295</v>
      </c>
      <c r="E190" s="131">
        <v>26.200000762939453</v>
      </c>
      <c r="F190" s="131">
        <v>14.199999809265137</v>
      </c>
      <c r="G190" s="131">
        <v>3.7599998474121095</v>
      </c>
      <c r="H190" s="131">
        <v>82.9000015258789</v>
      </c>
      <c r="I190" s="131">
        <v>24.14462661743164</v>
      </c>
      <c r="J190" s="131">
        <v>2</v>
      </c>
      <c r="K190" s="131">
        <v>0</v>
      </c>
      <c r="L190" s="25">
        <f t="shared" si="13"/>
        <v>34.00937213369518</v>
      </c>
      <c r="M190" s="25">
        <f t="shared" si="14"/>
        <v>16.19326890763327</v>
      </c>
      <c r="N190" s="125">
        <f t="shared" si="15"/>
        <v>8.908051613030954</v>
      </c>
    </row>
    <row r="191" spans="2:14" ht="12.75">
      <c r="B191" s="124"/>
      <c r="C191" s="124" t="str">
        <f t="shared" si="17"/>
        <v>Sep</v>
      </c>
      <c r="D191" s="125">
        <f t="shared" si="12"/>
        <v>18.699999809265137</v>
      </c>
      <c r="E191" s="131">
        <v>25.299999237060547</v>
      </c>
      <c r="F191" s="131">
        <v>12.100000381469727</v>
      </c>
      <c r="G191" s="131">
        <v>31.760000610351565</v>
      </c>
      <c r="H191" s="131">
        <v>87.4000015258789</v>
      </c>
      <c r="I191" s="131">
        <v>18.35765266418457</v>
      </c>
      <c r="J191" s="131">
        <v>8</v>
      </c>
      <c r="K191" s="131">
        <v>0</v>
      </c>
      <c r="L191" s="25">
        <f t="shared" si="13"/>
        <v>32.244111824970304</v>
      </c>
      <c r="M191" s="25">
        <f t="shared" si="14"/>
        <v>14.117244452811459</v>
      </c>
      <c r="N191" s="125">
        <f t="shared" si="15"/>
        <v>9.063433686079422</v>
      </c>
    </row>
    <row r="192" spans="2:14" ht="12.75">
      <c r="B192" s="124"/>
      <c r="C192" s="124" t="str">
        <f t="shared" si="17"/>
        <v>Oct</v>
      </c>
      <c r="D192" s="125">
        <f t="shared" si="12"/>
        <v>15.649999618530273</v>
      </c>
      <c r="E192" s="131">
        <v>21.899999618530273</v>
      </c>
      <c r="F192" s="131">
        <v>9.399999618530273</v>
      </c>
      <c r="G192" s="131">
        <v>41.6</v>
      </c>
      <c r="H192" s="131">
        <v>56.70000076293945</v>
      </c>
      <c r="I192" s="131">
        <v>12.626309394836426</v>
      </c>
      <c r="J192" s="131">
        <v>8</v>
      </c>
      <c r="K192" s="131">
        <v>0</v>
      </c>
      <c r="L192" s="25">
        <f t="shared" si="13"/>
        <v>26.275507235861554</v>
      </c>
      <c r="M192" s="25">
        <f t="shared" si="14"/>
        <v>11.79371328679478</v>
      </c>
      <c r="N192" s="125">
        <f t="shared" si="15"/>
        <v>7.240896974533387</v>
      </c>
    </row>
    <row r="193" spans="2:14" ht="12.75">
      <c r="B193" s="124"/>
      <c r="C193" s="124" t="str">
        <f t="shared" si="17"/>
        <v>Nov</v>
      </c>
      <c r="D193" s="125">
        <f t="shared" si="12"/>
        <v>11.999999523162842</v>
      </c>
      <c r="E193" s="131">
        <v>17.299999237060547</v>
      </c>
      <c r="F193" s="131">
        <v>6.699999809265137</v>
      </c>
      <c r="G193" s="131">
        <v>87.75999755859375</v>
      </c>
      <c r="H193" s="131">
        <v>40.900001525878906</v>
      </c>
      <c r="I193" s="131">
        <v>8.680642127990723</v>
      </c>
      <c r="J193" s="131">
        <v>13</v>
      </c>
      <c r="K193" s="131">
        <v>0</v>
      </c>
      <c r="L193" s="25">
        <f t="shared" si="13"/>
        <v>19.74677914314186</v>
      </c>
      <c r="M193" s="25">
        <f t="shared" si="14"/>
        <v>9.813474436884212</v>
      </c>
      <c r="N193" s="125">
        <f t="shared" si="15"/>
        <v>4.966652353128825</v>
      </c>
    </row>
    <row r="194" spans="2:14" ht="12.75">
      <c r="B194" s="124"/>
      <c r="C194" s="124" t="str">
        <f t="shared" si="17"/>
        <v>Dec</v>
      </c>
      <c r="D194" s="125">
        <f t="shared" si="12"/>
        <v>11.199999809265137</v>
      </c>
      <c r="E194" s="131">
        <v>15.199999809265137</v>
      </c>
      <c r="F194" s="131">
        <v>7.199999809265137</v>
      </c>
      <c r="G194" s="131">
        <v>164.24000244140626</v>
      </c>
      <c r="H194" s="131">
        <v>46.400001525878906</v>
      </c>
      <c r="I194" s="131">
        <v>6.731121063232422</v>
      </c>
      <c r="J194" s="131">
        <v>19</v>
      </c>
      <c r="K194" s="131">
        <v>1</v>
      </c>
      <c r="L194" s="25">
        <f t="shared" si="13"/>
        <v>17.272682971981894</v>
      </c>
      <c r="M194" s="25">
        <f t="shared" si="14"/>
        <v>10.156375121689901</v>
      </c>
      <c r="N194" s="125">
        <f t="shared" si="15"/>
        <v>3.558153925145996</v>
      </c>
    </row>
    <row r="195" spans="2:14" ht="12.75">
      <c r="B195" s="124">
        <f>B183+1</f>
        <v>1997</v>
      </c>
      <c r="C195" s="124" t="str">
        <f t="shared" si="17"/>
        <v>Jan</v>
      </c>
      <c r="D195" s="125">
        <f aca="true" t="shared" si="18" ref="D195:D258">(E195+F195)/2</f>
        <v>10.449999809265137</v>
      </c>
      <c r="E195" s="131">
        <v>15.199999809265137</v>
      </c>
      <c r="F195" s="131">
        <v>5.699999809265137</v>
      </c>
      <c r="G195" s="131">
        <v>116.95999755859376</v>
      </c>
      <c r="H195" s="131">
        <v>57.79999923706055</v>
      </c>
      <c r="I195" s="131">
        <v>7.947720050811768</v>
      </c>
      <c r="J195" s="131">
        <v>16</v>
      </c>
      <c r="K195" s="131">
        <v>3</v>
      </c>
      <c r="L195" s="25">
        <f t="shared" si="13"/>
        <v>17.272682971981894</v>
      </c>
      <c r="M195" s="25">
        <f t="shared" si="14"/>
        <v>9.158129348946959</v>
      </c>
      <c r="N195" s="125">
        <f t="shared" si="15"/>
        <v>4.057276811517467</v>
      </c>
    </row>
    <row r="196" spans="2:14" ht="12.75">
      <c r="B196" s="124"/>
      <c r="C196" s="124" t="str">
        <f t="shared" si="17"/>
        <v>Feb</v>
      </c>
      <c r="D196" s="125">
        <f t="shared" si="18"/>
        <v>12.40000033378601</v>
      </c>
      <c r="E196" s="131">
        <v>17.700000762939453</v>
      </c>
      <c r="F196" s="131">
        <v>7.099999904632568</v>
      </c>
      <c r="G196" s="131">
        <v>6.8</v>
      </c>
      <c r="H196" s="131">
        <v>37.79999923706055</v>
      </c>
      <c r="I196" s="131">
        <v>10.81394100189209</v>
      </c>
      <c r="J196" s="131">
        <v>3</v>
      </c>
      <c r="K196" s="131">
        <v>0</v>
      </c>
      <c r="L196" s="25">
        <f aca="true" t="shared" si="19" ref="L196:L259">6.1078*EXP(17.269*E196/(237.3+E196))</f>
        <v>20.251694228646116</v>
      </c>
      <c r="M196" s="25">
        <f aca="true" t="shared" si="20" ref="M196:M259">6.1078*EXP(17.269*F196/(237.3+F196))</f>
        <v>10.086963069931985</v>
      </c>
      <c r="N196" s="125">
        <f aca="true" t="shared" si="21" ref="N196:N259">(L196-M196)/2</f>
        <v>5.082365579357066</v>
      </c>
    </row>
    <row r="197" spans="2:14" ht="12.75">
      <c r="B197" s="124"/>
      <c r="C197" s="124" t="str">
        <f t="shared" si="17"/>
        <v>March</v>
      </c>
      <c r="D197" s="125">
        <f t="shared" si="18"/>
        <v>15.299999713897705</v>
      </c>
      <c r="E197" s="131">
        <v>24.299999237060547</v>
      </c>
      <c r="F197" s="131">
        <v>6.300000190734863</v>
      </c>
      <c r="G197" s="131">
        <v>0</v>
      </c>
      <c r="H197" s="131">
        <v>108.80000305175781</v>
      </c>
      <c r="I197" s="131">
        <v>15.477620124816895</v>
      </c>
      <c r="J197" s="131">
        <v>0</v>
      </c>
      <c r="K197" s="131">
        <v>0</v>
      </c>
      <c r="L197" s="25">
        <f t="shared" si="19"/>
        <v>30.37689914141491</v>
      </c>
      <c r="M197" s="25">
        <f t="shared" si="20"/>
        <v>9.546539425634425</v>
      </c>
      <c r="N197" s="125">
        <f t="shared" si="21"/>
        <v>10.415179857890243</v>
      </c>
    </row>
    <row r="198" spans="2:14" ht="12.75">
      <c r="B198" s="124"/>
      <c r="C198" s="124" t="str">
        <f t="shared" si="17"/>
        <v>April</v>
      </c>
      <c r="D198" s="125">
        <f t="shared" si="18"/>
        <v>16.899999618530273</v>
      </c>
      <c r="E198" s="131">
        <v>22.899999618530273</v>
      </c>
      <c r="F198" s="131">
        <v>10.899999618530273</v>
      </c>
      <c r="G198" s="131">
        <v>41.76000061035157</v>
      </c>
      <c r="H198" s="131">
        <v>89.30000305175781</v>
      </c>
      <c r="I198" s="131">
        <v>18.618253707885742</v>
      </c>
      <c r="J198" s="131">
        <v>7</v>
      </c>
      <c r="K198" s="131">
        <v>0</v>
      </c>
      <c r="L198" s="25">
        <f t="shared" si="19"/>
        <v>27.92152518624335</v>
      </c>
      <c r="M198" s="25">
        <f t="shared" si="20"/>
        <v>13.039137567600497</v>
      </c>
      <c r="N198" s="125">
        <f t="shared" si="21"/>
        <v>7.441193809321427</v>
      </c>
    </row>
    <row r="199" spans="2:14" ht="12.75">
      <c r="B199" s="124"/>
      <c r="C199" s="124" t="str">
        <f t="shared" si="17"/>
        <v>May</v>
      </c>
      <c r="D199" s="125">
        <f t="shared" si="18"/>
        <v>16.75</v>
      </c>
      <c r="E199" s="131">
        <v>21.600000381469727</v>
      </c>
      <c r="F199" s="131">
        <v>11.899999618530273</v>
      </c>
      <c r="G199" s="131">
        <v>68.87999877929688</v>
      </c>
      <c r="H199" s="131">
        <v>85.5999984741211</v>
      </c>
      <c r="I199" s="131">
        <v>22.955364227294922</v>
      </c>
      <c r="J199" s="131">
        <v>17</v>
      </c>
      <c r="K199" s="131">
        <v>0</v>
      </c>
      <c r="L199" s="25">
        <f t="shared" si="19"/>
        <v>25.798530559851905</v>
      </c>
      <c r="M199" s="25">
        <f t="shared" si="20"/>
        <v>13.93229987041916</v>
      </c>
      <c r="N199" s="125">
        <f t="shared" si="21"/>
        <v>5.933115344716373</v>
      </c>
    </row>
    <row r="200" spans="2:14" ht="12.75">
      <c r="B200" s="124"/>
      <c r="C200" s="124" t="str">
        <f t="shared" si="17"/>
        <v>June</v>
      </c>
      <c r="D200" s="125">
        <f t="shared" si="18"/>
        <v>17.550000190734863</v>
      </c>
      <c r="E200" s="131">
        <v>21.700000762939453</v>
      </c>
      <c r="F200" s="131">
        <v>13.399999618530273</v>
      </c>
      <c r="G200" s="131">
        <v>51.44000244140625</v>
      </c>
      <c r="H200" s="131">
        <v>92.80000305175781</v>
      </c>
      <c r="I200" s="131">
        <v>25.878089904785156</v>
      </c>
      <c r="J200" s="131">
        <v>10</v>
      </c>
      <c r="K200" s="131">
        <v>0</v>
      </c>
      <c r="L200" s="25">
        <f t="shared" si="19"/>
        <v>25.956676289499427</v>
      </c>
      <c r="M200" s="25">
        <f t="shared" si="20"/>
        <v>15.372812437338062</v>
      </c>
      <c r="N200" s="125">
        <f t="shared" si="21"/>
        <v>5.291931926080682</v>
      </c>
    </row>
    <row r="201" spans="2:14" ht="12.75">
      <c r="B201" s="124"/>
      <c r="C201" s="124" t="str">
        <f t="shared" si="17"/>
        <v>July</v>
      </c>
      <c r="D201" s="125">
        <f t="shared" si="18"/>
        <v>20.450000286102295</v>
      </c>
      <c r="E201" s="131">
        <v>25.700000762939453</v>
      </c>
      <c r="F201" s="131">
        <v>15.199999809265137</v>
      </c>
      <c r="G201" s="131">
        <v>18.560000610351562</v>
      </c>
      <c r="H201" s="131">
        <v>98.5</v>
      </c>
      <c r="I201" s="131">
        <v>26.342910766601562</v>
      </c>
      <c r="J201" s="131">
        <v>3</v>
      </c>
      <c r="K201" s="131">
        <v>0</v>
      </c>
      <c r="L201" s="25">
        <f t="shared" si="19"/>
        <v>33.018556773950664</v>
      </c>
      <c r="M201" s="25">
        <f t="shared" si="20"/>
        <v>17.272682971981894</v>
      </c>
      <c r="N201" s="125">
        <f t="shared" si="21"/>
        <v>7.872936900984385</v>
      </c>
    </row>
    <row r="202" spans="2:14" ht="12.75">
      <c r="B202" s="124"/>
      <c r="C202" s="124" t="str">
        <f t="shared" si="17"/>
        <v>Aug</v>
      </c>
      <c r="D202" s="125">
        <f t="shared" si="18"/>
        <v>20.399999618530273</v>
      </c>
      <c r="E202" s="131">
        <v>25.299999237060547</v>
      </c>
      <c r="F202" s="131">
        <v>15.5</v>
      </c>
      <c r="G202" s="131">
        <v>20.639999389648438</v>
      </c>
      <c r="H202" s="131">
        <v>67.80000305175781</v>
      </c>
      <c r="I202" s="131">
        <v>24.14462661743164</v>
      </c>
      <c r="J202" s="131">
        <v>5</v>
      </c>
      <c r="K202" s="131">
        <v>0</v>
      </c>
      <c r="L202" s="25">
        <f t="shared" si="19"/>
        <v>32.244111824970304</v>
      </c>
      <c r="M202" s="25">
        <f t="shared" si="20"/>
        <v>17.60857268023594</v>
      </c>
      <c r="N202" s="125">
        <f t="shared" si="21"/>
        <v>7.317769572367181</v>
      </c>
    </row>
    <row r="203" spans="2:14" ht="12.75">
      <c r="B203" s="124"/>
      <c r="C203" s="124" t="str">
        <f t="shared" si="17"/>
        <v>Sep</v>
      </c>
      <c r="D203" s="125">
        <f t="shared" si="18"/>
        <v>20.34999990463257</v>
      </c>
      <c r="E203" s="131">
        <v>26.399999618530273</v>
      </c>
      <c r="F203" s="131">
        <v>14.300000190734863</v>
      </c>
      <c r="G203" s="131">
        <v>0.6400000095367432</v>
      </c>
      <c r="H203" s="131">
        <v>80.4000015258789</v>
      </c>
      <c r="I203" s="131">
        <v>18.35765266418457</v>
      </c>
      <c r="J203" s="131">
        <v>0</v>
      </c>
      <c r="K203" s="131">
        <v>0</v>
      </c>
      <c r="L203" s="25">
        <f t="shared" si="19"/>
        <v>34.41289123153068</v>
      </c>
      <c r="M203" s="25">
        <f t="shared" si="20"/>
        <v>16.298479514731145</v>
      </c>
      <c r="N203" s="125">
        <f t="shared" si="21"/>
        <v>9.057205858399767</v>
      </c>
    </row>
    <row r="204" spans="2:14" ht="12.75">
      <c r="B204" s="124"/>
      <c r="C204" s="124" t="str">
        <f t="shared" si="17"/>
        <v>Oct</v>
      </c>
      <c r="D204" s="125">
        <f t="shared" si="18"/>
        <v>18.649999618530273</v>
      </c>
      <c r="E204" s="131">
        <v>24.799999237060547</v>
      </c>
      <c r="F204" s="131">
        <v>12.5</v>
      </c>
      <c r="G204" s="131">
        <v>86.95999755859376</v>
      </c>
      <c r="H204" s="131">
        <v>68.0999984741211</v>
      </c>
      <c r="I204" s="131">
        <v>12.626309394836426</v>
      </c>
      <c r="J204" s="131">
        <v>10</v>
      </c>
      <c r="K204" s="131">
        <v>0</v>
      </c>
      <c r="L204" s="25">
        <f t="shared" si="19"/>
        <v>31.298364203109077</v>
      </c>
      <c r="M204" s="25">
        <f t="shared" si="20"/>
        <v>14.49361135209776</v>
      </c>
      <c r="N204" s="125">
        <f t="shared" si="21"/>
        <v>8.402376425505658</v>
      </c>
    </row>
    <row r="205" spans="2:14" ht="12.75">
      <c r="B205" s="124"/>
      <c r="C205" s="124" t="str">
        <f t="shared" si="17"/>
        <v>Nov</v>
      </c>
      <c r="D205" s="125">
        <f t="shared" si="18"/>
        <v>14.75</v>
      </c>
      <c r="E205" s="131">
        <v>18.600000381469727</v>
      </c>
      <c r="F205" s="131">
        <v>10.899999618530273</v>
      </c>
      <c r="G205" s="131">
        <v>337.9199951171875</v>
      </c>
      <c r="H205" s="131">
        <v>43.70000076293945</v>
      </c>
      <c r="I205" s="131">
        <v>8.680642127990723</v>
      </c>
      <c r="J205" s="131">
        <v>24</v>
      </c>
      <c r="K205" s="131">
        <v>0</v>
      </c>
      <c r="L205" s="25">
        <f t="shared" si="19"/>
        <v>21.42927026807466</v>
      </c>
      <c r="M205" s="25">
        <f t="shared" si="20"/>
        <v>13.039137567600497</v>
      </c>
      <c r="N205" s="125">
        <f t="shared" si="21"/>
        <v>4.195066350237082</v>
      </c>
    </row>
    <row r="206" spans="2:14" ht="12.75">
      <c r="B206" s="124"/>
      <c r="C206" s="124" t="str">
        <f t="shared" si="17"/>
        <v>Dec</v>
      </c>
      <c r="D206" s="125">
        <f t="shared" si="18"/>
        <v>12.100000381469727</v>
      </c>
      <c r="E206" s="131">
        <v>16.200000762939453</v>
      </c>
      <c r="F206" s="131">
        <v>8</v>
      </c>
      <c r="G206" s="131">
        <v>142.64000244140627</v>
      </c>
      <c r="H206" s="131">
        <v>35</v>
      </c>
      <c r="I206" s="131">
        <v>6.731121063232422</v>
      </c>
      <c r="J206" s="131">
        <v>14</v>
      </c>
      <c r="K206" s="131">
        <v>1</v>
      </c>
      <c r="L206" s="25">
        <f t="shared" si="19"/>
        <v>18.414672339690902</v>
      </c>
      <c r="M206" s="25">
        <f t="shared" si="20"/>
        <v>10.726987145708597</v>
      </c>
      <c r="N206" s="125">
        <f t="shared" si="21"/>
        <v>3.843842596991153</v>
      </c>
    </row>
    <row r="207" spans="2:14" ht="12.75">
      <c r="B207" s="124">
        <f>B195+1</f>
        <v>1998</v>
      </c>
      <c r="C207" s="124" t="str">
        <f t="shared" si="17"/>
        <v>Jan</v>
      </c>
      <c r="D207" s="125">
        <f t="shared" si="18"/>
        <v>9.75</v>
      </c>
      <c r="E207" s="131">
        <v>15</v>
      </c>
      <c r="F207" s="131">
        <v>4.5</v>
      </c>
      <c r="G207" s="131">
        <v>80.8</v>
      </c>
      <c r="H207" s="131">
        <v>57.79999923706055</v>
      </c>
      <c r="I207" s="131">
        <v>7.947720050811768</v>
      </c>
      <c r="J207" s="131">
        <v>14</v>
      </c>
      <c r="K207" s="131">
        <v>7</v>
      </c>
      <c r="L207" s="25">
        <f t="shared" si="19"/>
        <v>17.05189010686335</v>
      </c>
      <c r="M207" s="25">
        <f t="shared" si="20"/>
        <v>8.422864881293139</v>
      </c>
      <c r="N207" s="125">
        <f t="shared" si="21"/>
        <v>4.314512612785106</v>
      </c>
    </row>
    <row r="208" spans="2:14" ht="12.75">
      <c r="B208" s="124"/>
      <c r="C208" s="124" t="str">
        <f t="shared" si="17"/>
        <v>Feb</v>
      </c>
      <c r="D208" s="125">
        <f t="shared" si="18"/>
        <v>10.599999904632568</v>
      </c>
      <c r="E208" s="131">
        <v>15.699999809265137</v>
      </c>
      <c r="F208" s="131">
        <v>5.5</v>
      </c>
      <c r="G208" s="131">
        <v>33.76000061035156</v>
      </c>
      <c r="H208" s="131">
        <v>61.29999923706055</v>
      </c>
      <c r="I208" s="131">
        <v>10.81394100189209</v>
      </c>
      <c r="J208" s="131">
        <v>4</v>
      </c>
      <c r="K208" s="131">
        <v>5</v>
      </c>
      <c r="L208" s="25">
        <f t="shared" si="19"/>
        <v>17.8356671965357</v>
      </c>
      <c r="M208" s="25">
        <f t="shared" si="20"/>
        <v>9.031791527337647</v>
      </c>
      <c r="N208" s="125">
        <f t="shared" si="21"/>
        <v>4.401937834599026</v>
      </c>
    </row>
    <row r="209" spans="2:14" ht="12.75">
      <c r="B209" s="124"/>
      <c r="C209" s="124" t="str">
        <f t="shared" si="17"/>
        <v>March</v>
      </c>
      <c r="D209" s="125">
        <f t="shared" si="18"/>
        <v>12.15000033378601</v>
      </c>
      <c r="E209" s="131">
        <v>17.700000762939453</v>
      </c>
      <c r="F209" s="131">
        <v>6.599999904632568</v>
      </c>
      <c r="G209" s="131">
        <v>28.23999938964844</v>
      </c>
      <c r="H209" s="131">
        <v>84</v>
      </c>
      <c r="I209" s="131">
        <v>15.477620124816895</v>
      </c>
      <c r="J209" s="131">
        <v>3</v>
      </c>
      <c r="K209" s="131">
        <v>3</v>
      </c>
      <c r="L209" s="25">
        <f t="shared" si="19"/>
        <v>20.251694228646116</v>
      </c>
      <c r="M209" s="25">
        <f t="shared" si="20"/>
        <v>9.746131619888772</v>
      </c>
      <c r="N209" s="125">
        <f t="shared" si="21"/>
        <v>5.252781304378672</v>
      </c>
    </row>
    <row r="210" spans="2:14" ht="12.75">
      <c r="B210" s="124"/>
      <c r="C210" s="124" t="str">
        <f t="shared" si="17"/>
        <v>April</v>
      </c>
      <c r="D210" s="125">
        <f t="shared" si="18"/>
        <v>13.300000190734863</v>
      </c>
      <c r="E210" s="131">
        <v>18.600000381469727</v>
      </c>
      <c r="F210" s="131">
        <v>8</v>
      </c>
      <c r="G210" s="131">
        <v>117.2800048828125</v>
      </c>
      <c r="H210" s="131">
        <v>81.4000015258789</v>
      </c>
      <c r="I210" s="131">
        <v>18.618253707885742</v>
      </c>
      <c r="J210" s="131">
        <v>22</v>
      </c>
      <c r="K210" s="131">
        <v>1</v>
      </c>
      <c r="L210" s="25">
        <f t="shared" si="19"/>
        <v>21.42927026807466</v>
      </c>
      <c r="M210" s="25">
        <f t="shared" si="20"/>
        <v>10.726987145708597</v>
      </c>
      <c r="N210" s="125">
        <f t="shared" si="21"/>
        <v>5.351141561183032</v>
      </c>
    </row>
    <row r="211" spans="2:14" ht="12.75">
      <c r="B211" s="124"/>
      <c r="C211" s="124" t="str">
        <f t="shared" si="17"/>
        <v>May</v>
      </c>
      <c r="D211" s="125">
        <f t="shared" si="18"/>
        <v>15.40000057220459</v>
      </c>
      <c r="E211" s="131">
        <v>20.700000762939453</v>
      </c>
      <c r="F211" s="131">
        <v>10.100000381469727</v>
      </c>
      <c r="G211" s="131">
        <v>61.2</v>
      </c>
      <c r="H211" s="131">
        <v>86.80000305175781</v>
      </c>
      <c r="I211" s="131">
        <v>22.955364227294922</v>
      </c>
      <c r="J211" s="131">
        <v>9</v>
      </c>
      <c r="K211" s="131">
        <v>0</v>
      </c>
      <c r="L211" s="25">
        <f t="shared" si="19"/>
        <v>24.412681633489253</v>
      </c>
      <c r="M211" s="25">
        <f t="shared" si="20"/>
        <v>12.361246101415844</v>
      </c>
      <c r="N211" s="125">
        <f t="shared" si="21"/>
        <v>6.0257177660367045</v>
      </c>
    </row>
    <row r="212" spans="2:14" ht="12.75">
      <c r="B212" s="124"/>
      <c r="C212" s="124" t="str">
        <f t="shared" si="17"/>
        <v>June</v>
      </c>
      <c r="D212" s="125">
        <f t="shared" si="18"/>
        <v>18.15000009536743</v>
      </c>
      <c r="E212" s="131">
        <v>23.600000381469727</v>
      </c>
      <c r="F212" s="131">
        <v>12.699999809265137</v>
      </c>
      <c r="G212" s="131">
        <v>31.520001220703126</v>
      </c>
      <c r="H212" s="131">
        <v>91.69999694824219</v>
      </c>
      <c r="I212" s="131">
        <v>25.878089904785156</v>
      </c>
      <c r="J212" s="131">
        <v>3</v>
      </c>
      <c r="K212" s="131">
        <v>0</v>
      </c>
      <c r="L212" s="25">
        <f t="shared" si="19"/>
        <v>29.12664203179622</v>
      </c>
      <c r="M212" s="25">
        <f t="shared" si="20"/>
        <v>14.685077327322881</v>
      </c>
      <c r="N212" s="125">
        <f t="shared" si="21"/>
        <v>7.220782352236669</v>
      </c>
    </row>
    <row r="213" spans="2:14" ht="12.75">
      <c r="B213" s="124"/>
      <c r="C213" s="124" t="str">
        <f t="shared" si="17"/>
        <v>July</v>
      </c>
      <c r="D213" s="125">
        <f t="shared" si="18"/>
        <v>20.550000190734863</v>
      </c>
      <c r="E213" s="131">
        <v>26</v>
      </c>
      <c r="F213" s="131">
        <v>15.100000381469727</v>
      </c>
      <c r="G213" s="131">
        <v>3.0399999618530273</v>
      </c>
      <c r="H213" s="131">
        <v>104</v>
      </c>
      <c r="I213" s="131">
        <v>26.342910766601562</v>
      </c>
      <c r="J213" s="131">
        <v>1</v>
      </c>
      <c r="K213" s="131">
        <v>0</v>
      </c>
      <c r="L213" s="25">
        <f t="shared" si="19"/>
        <v>33.6099785805441</v>
      </c>
      <c r="M213" s="25">
        <f t="shared" si="20"/>
        <v>17.16197573794844</v>
      </c>
      <c r="N213" s="125">
        <f t="shared" si="21"/>
        <v>8.224001421297832</v>
      </c>
    </row>
    <row r="214" spans="2:14" ht="12.75">
      <c r="B214" s="124"/>
      <c r="C214" s="124" t="str">
        <f t="shared" si="17"/>
        <v>Aug</v>
      </c>
      <c r="D214" s="125">
        <f t="shared" si="18"/>
        <v>20.90000009536743</v>
      </c>
      <c r="E214" s="131">
        <v>27.600000381469727</v>
      </c>
      <c r="F214" s="131">
        <v>14.199999809265137</v>
      </c>
      <c r="G214" s="131">
        <v>0</v>
      </c>
      <c r="H214" s="131">
        <v>101.19999694824219</v>
      </c>
      <c r="I214" s="131">
        <v>16.182024002075195</v>
      </c>
      <c r="J214" s="131">
        <v>0</v>
      </c>
      <c r="K214" s="131">
        <v>0</v>
      </c>
      <c r="L214" s="25">
        <f t="shared" si="19"/>
        <v>36.92276407032601</v>
      </c>
      <c r="M214" s="25">
        <f t="shared" si="20"/>
        <v>16.19326890763327</v>
      </c>
      <c r="N214" s="125">
        <f t="shared" si="21"/>
        <v>10.36474758134637</v>
      </c>
    </row>
    <row r="215" spans="2:14" ht="12.75">
      <c r="B215" s="124"/>
      <c r="C215" s="124" t="str">
        <f aca="true" t="shared" si="22" ref="C215:C246">C203</f>
        <v>Sep</v>
      </c>
      <c r="D215" s="125">
        <f t="shared" si="18"/>
        <v>19.90000057220459</v>
      </c>
      <c r="E215" s="131">
        <v>24.700000762939453</v>
      </c>
      <c r="F215" s="131">
        <v>15.100000381469727</v>
      </c>
      <c r="G215" s="131">
        <v>53.6</v>
      </c>
      <c r="H215" s="131">
        <v>86.5999984741211</v>
      </c>
      <c r="I215" s="131">
        <v>13.989333152770996</v>
      </c>
      <c r="J215" s="131">
        <v>9</v>
      </c>
      <c r="K215" s="131">
        <v>0</v>
      </c>
      <c r="L215" s="25">
        <f t="shared" si="19"/>
        <v>31.112148434462092</v>
      </c>
      <c r="M215" s="25">
        <f t="shared" si="20"/>
        <v>17.16197573794844</v>
      </c>
      <c r="N215" s="125">
        <f t="shared" si="21"/>
        <v>6.975086348256827</v>
      </c>
    </row>
    <row r="216" spans="2:14" ht="12.75">
      <c r="B216" s="124"/>
      <c r="C216" s="124" t="str">
        <f t="shared" si="22"/>
        <v>Oct</v>
      </c>
      <c r="D216" s="125">
        <f t="shared" si="18"/>
        <v>15.199999809265137</v>
      </c>
      <c r="E216" s="131">
        <v>21.5</v>
      </c>
      <c r="F216" s="131">
        <v>8.899999618530273</v>
      </c>
      <c r="G216" s="131">
        <v>14.960000610351564</v>
      </c>
      <c r="H216" s="131">
        <v>69.0999984741211</v>
      </c>
      <c r="I216" s="131">
        <v>9.740891456604004</v>
      </c>
      <c r="J216" s="131">
        <v>4</v>
      </c>
      <c r="K216" s="131">
        <v>0</v>
      </c>
      <c r="L216" s="25">
        <f t="shared" si="19"/>
        <v>25.641227262174738</v>
      </c>
      <c r="M216" s="25">
        <f t="shared" si="20"/>
        <v>11.402491094690165</v>
      </c>
      <c r="N216" s="125">
        <f t="shared" si="21"/>
        <v>7.119368083742287</v>
      </c>
    </row>
    <row r="217" spans="2:14" ht="12.75">
      <c r="B217" s="124"/>
      <c r="C217" s="124" t="str">
        <f t="shared" si="22"/>
        <v>Nov</v>
      </c>
      <c r="D217" s="125">
        <f t="shared" si="18"/>
        <v>12.999999761581421</v>
      </c>
      <c r="E217" s="131">
        <v>18.899999618530273</v>
      </c>
      <c r="F217" s="131">
        <v>7.099999904632568</v>
      </c>
      <c r="G217" s="131">
        <v>48.320001220703126</v>
      </c>
      <c r="H217" s="131">
        <v>54.20000076293945</v>
      </c>
      <c r="I217" s="131">
        <v>10.427215576171875</v>
      </c>
      <c r="J217" s="131">
        <v>6</v>
      </c>
      <c r="K217" s="131">
        <v>3</v>
      </c>
      <c r="L217" s="25">
        <f t="shared" si="19"/>
        <v>21.834892027836773</v>
      </c>
      <c r="M217" s="25">
        <f t="shared" si="20"/>
        <v>10.086963069931985</v>
      </c>
      <c r="N217" s="125">
        <f t="shared" si="21"/>
        <v>5.873964478952394</v>
      </c>
    </row>
    <row r="218" spans="2:14" ht="12.75">
      <c r="B218" s="124"/>
      <c r="C218" s="124" t="str">
        <f t="shared" si="22"/>
        <v>Dec</v>
      </c>
      <c r="D218" s="125">
        <f t="shared" si="18"/>
        <v>8.499999612569809</v>
      </c>
      <c r="E218" s="131">
        <v>16.299999237060547</v>
      </c>
      <c r="F218" s="131">
        <v>0.699999988079071</v>
      </c>
      <c r="G218" s="131">
        <v>54.07999877929688</v>
      </c>
      <c r="H218" s="131">
        <v>52.099998474121094</v>
      </c>
      <c r="I218" s="131">
        <v>8.559864044189453</v>
      </c>
      <c r="J218" s="131">
        <v>4</v>
      </c>
      <c r="K218" s="131">
        <v>7</v>
      </c>
      <c r="L218" s="25">
        <f t="shared" si="19"/>
        <v>18.532427507601287</v>
      </c>
      <c r="M218" s="25">
        <f t="shared" si="20"/>
        <v>6.426035714473323</v>
      </c>
      <c r="N218" s="125">
        <f t="shared" si="21"/>
        <v>6.053195896563983</v>
      </c>
    </row>
    <row r="219" spans="2:14" ht="12.75">
      <c r="B219" s="124">
        <f>B207+1</f>
        <v>1999</v>
      </c>
      <c r="C219" s="124" t="str">
        <f t="shared" si="22"/>
        <v>Jan</v>
      </c>
      <c r="D219" s="125">
        <f t="shared" si="18"/>
        <v>9.650000214576721</v>
      </c>
      <c r="E219" s="131">
        <v>15.600000381469727</v>
      </c>
      <c r="F219" s="131">
        <v>3.700000047683716</v>
      </c>
      <c r="G219" s="131">
        <v>96.55999755859375</v>
      </c>
      <c r="H219" s="131">
        <v>57.79999923706055</v>
      </c>
      <c r="I219" s="131">
        <v>8.517951011657715</v>
      </c>
      <c r="J219" s="131">
        <v>10</v>
      </c>
      <c r="K219" s="131">
        <v>7</v>
      </c>
      <c r="L219" s="25">
        <f t="shared" si="19"/>
        <v>17.72180161999708</v>
      </c>
      <c r="M219" s="25">
        <f t="shared" si="20"/>
        <v>7.962096721412655</v>
      </c>
      <c r="N219" s="125">
        <f t="shared" si="21"/>
        <v>4.879852449292213</v>
      </c>
    </row>
    <row r="220" spans="2:14" ht="12.75">
      <c r="B220" s="124"/>
      <c r="C220" s="124" t="str">
        <f t="shared" si="22"/>
        <v>Feb</v>
      </c>
      <c r="D220" s="125">
        <f t="shared" si="18"/>
        <v>8.550000190734863</v>
      </c>
      <c r="E220" s="131">
        <v>15.600000381469727</v>
      </c>
      <c r="F220" s="131">
        <v>1.5</v>
      </c>
      <c r="G220" s="131">
        <v>24.71999969482422</v>
      </c>
      <c r="H220" s="131">
        <v>61.29999923706055</v>
      </c>
      <c r="I220" s="131">
        <v>14.141813278198242</v>
      </c>
      <c r="J220" s="131">
        <v>4</v>
      </c>
      <c r="K220" s="131">
        <v>5</v>
      </c>
      <c r="L220" s="25">
        <f t="shared" si="19"/>
        <v>17.72180161999708</v>
      </c>
      <c r="M220" s="25">
        <f t="shared" si="20"/>
        <v>6.807604260401561</v>
      </c>
      <c r="N220" s="125">
        <f t="shared" si="21"/>
        <v>5.45709867979776</v>
      </c>
    </row>
    <row r="221" spans="2:14" ht="12.75">
      <c r="B221" s="124"/>
      <c r="C221" s="124" t="str">
        <f t="shared" si="22"/>
        <v>March</v>
      </c>
      <c r="D221" s="125">
        <f t="shared" si="18"/>
        <v>12.299999713897705</v>
      </c>
      <c r="E221" s="131">
        <v>18.299999237060547</v>
      </c>
      <c r="F221" s="131">
        <v>6.300000190734863</v>
      </c>
      <c r="G221" s="131">
        <v>71.12000122070313</v>
      </c>
      <c r="H221" s="131">
        <v>84</v>
      </c>
      <c r="I221" s="131">
        <v>16.038911819458008</v>
      </c>
      <c r="J221" s="131">
        <v>14</v>
      </c>
      <c r="K221" s="131">
        <v>3</v>
      </c>
      <c r="L221" s="25">
        <f t="shared" si="19"/>
        <v>21.03025541539633</v>
      </c>
      <c r="M221" s="25">
        <f t="shared" si="20"/>
        <v>9.546539425634425</v>
      </c>
      <c r="N221" s="125">
        <f t="shared" si="21"/>
        <v>5.741857994880952</v>
      </c>
    </row>
    <row r="222" spans="2:14" ht="12.75">
      <c r="B222" s="124"/>
      <c r="C222" s="124" t="str">
        <f t="shared" si="22"/>
        <v>April</v>
      </c>
      <c r="D222" s="125">
        <f t="shared" si="18"/>
        <v>13.84999966621399</v>
      </c>
      <c r="E222" s="131">
        <v>19.799999237060547</v>
      </c>
      <c r="F222" s="131">
        <v>7.900000095367432</v>
      </c>
      <c r="G222" s="131">
        <v>45.6</v>
      </c>
      <c r="H222" s="131">
        <v>81.4000015258789</v>
      </c>
      <c r="I222" s="131">
        <v>6.7180609703063965</v>
      </c>
      <c r="J222" s="131">
        <v>10</v>
      </c>
      <c r="K222" s="131">
        <v>1</v>
      </c>
      <c r="L222" s="25">
        <f t="shared" si="19"/>
        <v>23.09234670950044</v>
      </c>
      <c r="M222" s="25">
        <f t="shared" si="20"/>
        <v>10.654151219420731</v>
      </c>
      <c r="N222" s="125">
        <f t="shared" si="21"/>
        <v>6.219097745039854</v>
      </c>
    </row>
    <row r="223" spans="2:14" ht="12.75">
      <c r="B223" s="124"/>
      <c r="C223" s="124" t="str">
        <f t="shared" si="22"/>
        <v>May</v>
      </c>
      <c r="D223" s="125">
        <f t="shared" si="18"/>
        <v>16.40000057220459</v>
      </c>
      <c r="E223" s="131">
        <v>21.700000762939453</v>
      </c>
      <c r="F223" s="131">
        <v>11.100000381469727</v>
      </c>
      <c r="G223" s="131">
        <v>64.72000122070312</v>
      </c>
      <c r="H223" s="131">
        <v>86.80000305175781</v>
      </c>
      <c r="I223" s="131">
        <v>10.88508129119873</v>
      </c>
      <c r="J223" s="131">
        <v>9</v>
      </c>
      <c r="K223" s="131">
        <v>0</v>
      </c>
      <c r="L223" s="25">
        <f t="shared" si="19"/>
        <v>25.956676289499427</v>
      </c>
      <c r="M223" s="25">
        <f t="shared" si="20"/>
        <v>13.213632150551243</v>
      </c>
      <c r="N223" s="125">
        <f t="shared" si="21"/>
        <v>6.371522069474092</v>
      </c>
    </row>
    <row r="224" spans="2:14" ht="12.75">
      <c r="B224" s="124"/>
      <c r="C224" s="124" t="str">
        <f t="shared" si="22"/>
        <v>June</v>
      </c>
      <c r="D224" s="125">
        <f t="shared" si="18"/>
        <v>17.40000009536743</v>
      </c>
      <c r="E224" s="131">
        <v>23.5</v>
      </c>
      <c r="F224" s="131">
        <v>11.300000190734863</v>
      </c>
      <c r="G224" s="131">
        <v>1.2</v>
      </c>
      <c r="H224" s="131">
        <v>91.69999694824219</v>
      </c>
      <c r="I224" s="131">
        <v>27.21030044555664</v>
      </c>
      <c r="J224" s="131">
        <v>0</v>
      </c>
      <c r="K224" s="131">
        <v>0</v>
      </c>
      <c r="L224" s="25">
        <f t="shared" si="19"/>
        <v>28.951750734741324</v>
      </c>
      <c r="M224" s="25">
        <f t="shared" si="20"/>
        <v>13.390174623831497</v>
      </c>
      <c r="N224" s="125">
        <f t="shared" si="21"/>
        <v>7.780788055454914</v>
      </c>
    </row>
    <row r="225" spans="2:14" ht="12.75">
      <c r="B225" s="124"/>
      <c r="C225" s="124" t="str">
        <f t="shared" si="22"/>
        <v>July</v>
      </c>
      <c r="D225" s="125">
        <f t="shared" si="18"/>
        <v>20.700000286102295</v>
      </c>
      <c r="E225" s="131">
        <v>26.200000762939453</v>
      </c>
      <c r="F225" s="131">
        <v>15.199999809265137</v>
      </c>
      <c r="G225" s="131">
        <v>0</v>
      </c>
      <c r="H225" s="131">
        <v>104</v>
      </c>
      <c r="I225" s="131">
        <v>26.020998001098633</v>
      </c>
      <c r="J225" s="131">
        <v>0</v>
      </c>
      <c r="K225" s="131">
        <v>0</v>
      </c>
      <c r="L225" s="25">
        <f t="shared" si="19"/>
        <v>34.00937213369518</v>
      </c>
      <c r="M225" s="25">
        <f t="shared" si="20"/>
        <v>17.272682971981894</v>
      </c>
      <c r="N225" s="125">
        <f t="shared" si="21"/>
        <v>8.368344580856643</v>
      </c>
    </row>
    <row r="226" spans="2:14" ht="12.75">
      <c r="B226" s="124"/>
      <c r="C226" s="124" t="str">
        <f t="shared" si="22"/>
        <v>Aug</v>
      </c>
      <c r="D226" s="125">
        <f t="shared" si="18"/>
        <v>20.799999713897705</v>
      </c>
      <c r="E226" s="131">
        <v>25.899999618530273</v>
      </c>
      <c r="F226" s="131">
        <v>15.699999809265137</v>
      </c>
      <c r="G226" s="131">
        <v>0.0800000011920929</v>
      </c>
      <c r="H226" s="131">
        <v>101.19999694824219</v>
      </c>
      <c r="I226" s="131">
        <v>24.29534912109375</v>
      </c>
      <c r="J226" s="131">
        <v>0</v>
      </c>
      <c r="K226" s="131">
        <v>0</v>
      </c>
      <c r="L226" s="25">
        <f t="shared" si="19"/>
        <v>33.41181919227695</v>
      </c>
      <c r="M226" s="25">
        <f t="shared" si="20"/>
        <v>17.8356671965357</v>
      </c>
      <c r="N226" s="125">
        <f t="shared" si="21"/>
        <v>7.788075997870626</v>
      </c>
    </row>
    <row r="227" spans="2:14" ht="12.75">
      <c r="B227" s="124"/>
      <c r="C227" s="124" t="str">
        <f t="shared" si="22"/>
        <v>Sep</v>
      </c>
      <c r="D227" s="125">
        <f t="shared" si="18"/>
        <v>19.500000476837158</v>
      </c>
      <c r="E227" s="131">
        <v>25.200000762939453</v>
      </c>
      <c r="F227" s="131">
        <v>13.800000190734863</v>
      </c>
      <c r="G227" s="131">
        <v>72.64000244140625</v>
      </c>
      <c r="H227" s="131">
        <v>86.5999984741211</v>
      </c>
      <c r="I227" s="131">
        <v>17.9387264251709</v>
      </c>
      <c r="J227" s="131">
        <v>9</v>
      </c>
      <c r="K227" s="131">
        <v>0</v>
      </c>
      <c r="L227" s="25">
        <f t="shared" si="19"/>
        <v>32.052996971649776</v>
      </c>
      <c r="M227" s="25">
        <f t="shared" si="20"/>
        <v>15.778362423757994</v>
      </c>
      <c r="N227" s="125">
        <f t="shared" si="21"/>
        <v>8.137317273945891</v>
      </c>
    </row>
    <row r="228" spans="2:14" ht="12.75">
      <c r="B228" s="124"/>
      <c r="C228" s="124" t="str">
        <f t="shared" si="22"/>
        <v>Oct</v>
      </c>
      <c r="D228" s="125">
        <f t="shared" si="18"/>
        <v>15.549999713897705</v>
      </c>
      <c r="E228" s="131">
        <v>20.399999618530273</v>
      </c>
      <c r="F228" s="131">
        <v>10.699999809265137</v>
      </c>
      <c r="G228" s="131">
        <v>145.75999755859377</v>
      </c>
      <c r="H228" s="131">
        <v>69.0999984741211</v>
      </c>
      <c r="I228" s="131">
        <v>11.72719955444336</v>
      </c>
      <c r="J228" s="131">
        <v>14</v>
      </c>
      <c r="K228" s="131">
        <v>0</v>
      </c>
      <c r="L228" s="25">
        <f t="shared" si="19"/>
        <v>23.965421508674787</v>
      </c>
      <c r="M228" s="25">
        <f t="shared" si="20"/>
        <v>12.866672233938193</v>
      </c>
      <c r="N228" s="125">
        <f t="shared" si="21"/>
        <v>5.549374637368297</v>
      </c>
    </row>
    <row r="229" spans="2:14" ht="12.75">
      <c r="B229" s="124"/>
      <c r="C229" s="124" t="str">
        <f t="shared" si="22"/>
        <v>Nov</v>
      </c>
      <c r="D229" s="125">
        <f t="shared" si="18"/>
        <v>10.949999809265137</v>
      </c>
      <c r="E229" s="131">
        <v>17.899999618530273</v>
      </c>
      <c r="F229" s="131">
        <v>4</v>
      </c>
      <c r="G229" s="131">
        <v>32.8</v>
      </c>
      <c r="H229" s="131">
        <v>54.20000076293945</v>
      </c>
      <c r="I229" s="131">
        <v>10.818496704101562</v>
      </c>
      <c r="J229" s="131">
        <v>3</v>
      </c>
      <c r="K229" s="131">
        <v>3</v>
      </c>
      <c r="L229" s="25">
        <f t="shared" si="19"/>
        <v>20.508361575311643</v>
      </c>
      <c r="M229" s="25">
        <f t="shared" si="20"/>
        <v>8.13220985677227</v>
      </c>
      <c r="N229" s="125">
        <f t="shared" si="21"/>
        <v>6.188075859269686</v>
      </c>
    </row>
    <row r="230" spans="2:14" ht="12.75">
      <c r="B230" s="124"/>
      <c r="C230" s="124" t="str">
        <f t="shared" si="22"/>
        <v>Dec</v>
      </c>
      <c r="D230" s="125">
        <f t="shared" si="18"/>
        <v>10.699999809265137</v>
      </c>
      <c r="E230" s="131">
        <v>15.199999809265137</v>
      </c>
      <c r="F230" s="131">
        <v>6.199999809265137</v>
      </c>
      <c r="G230" s="131">
        <v>54.879998779296876</v>
      </c>
      <c r="H230" s="131">
        <v>52.099998474121094</v>
      </c>
      <c r="I230" s="131">
        <v>6.3396196365356445</v>
      </c>
      <c r="J230" s="131">
        <v>13</v>
      </c>
      <c r="K230" s="131">
        <v>7</v>
      </c>
      <c r="L230" s="25">
        <f t="shared" si="19"/>
        <v>17.272682971981894</v>
      </c>
      <c r="M230" s="25">
        <f t="shared" si="20"/>
        <v>9.480813458603333</v>
      </c>
      <c r="N230" s="125">
        <f t="shared" si="21"/>
        <v>3.8959347566892806</v>
      </c>
    </row>
    <row r="231" spans="2:14" ht="12.75">
      <c r="B231" s="124">
        <f>B219+1</f>
        <v>2000</v>
      </c>
      <c r="C231" s="124" t="str">
        <f t="shared" si="22"/>
        <v>Jan</v>
      </c>
      <c r="D231" s="125">
        <f t="shared" si="18"/>
        <v>7.800000011920929</v>
      </c>
      <c r="E231" s="131">
        <v>15</v>
      </c>
      <c r="F231" s="131">
        <v>0.6000000238418579</v>
      </c>
      <c r="G231" s="131">
        <v>25.360000610351562</v>
      </c>
      <c r="H231" s="131">
        <v>57.79999923706055</v>
      </c>
      <c r="I231" s="131">
        <v>9.526318550109863</v>
      </c>
      <c r="J231" s="131">
        <v>4</v>
      </c>
      <c r="K231" s="131">
        <v>7</v>
      </c>
      <c r="L231" s="25">
        <f t="shared" si="19"/>
        <v>17.05189010686335</v>
      </c>
      <c r="M231" s="25">
        <f t="shared" si="20"/>
        <v>6.379694668127749</v>
      </c>
      <c r="N231" s="125">
        <f t="shared" si="21"/>
        <v>5.3360977193678005</v>
      </c>
    </row>
    <row r="232" spans="2:14" ht="12.75">
      <c r="B232" s="124"/>
      <c r="C232" s="124" t="str">
        <f t="shared" si="22"/>
        <v>Feb</v>
      </c>
      <c r="D232" s="125">
        <f t="shared" si="18"/>
        <v>12.649999618530273</v>
      </c>
      <c r="E232" s="131">
        <v>17.799999237060547</v>
      </c>
      <c r="F232" s="131">
        <v>7.5</v>
      </c>
      <c r="G232" s="131">
        <v>1.2</v>
      </c>
      <c r="H232" s="131">
        <v>61.29999923706055</v>
      </c>
      <c r="I232" s="131">
        <v>12.13980484008789</v>
      </c>
      <c r="J232" s="131">
        <v>0</v>
      </c>
      <c r="K232" s="131">
        <v>5</v>
      </c>
      <c r="L232" s="25">
        <f t="shared" si="19"/>
        <v>20.37967292015232</v>
      </c>
      <c r="M232" s="25">
        <f t="shared" si="20"/>
        <v>10.367142168195947</v>
      </c>
      <c r="N232" s="125">
        <f t="shared" si="21"/>
        <v>5.006265375978186</v>
      </c>
    </row>
    <row r="233" spans="2:14" ht="12.75">
      <c r="B233" s="124"/>
      <c r="C233" s="124" t="str">
        <f t="shared" si="22"/>
        <v>March</v>
      </c>
      <c r="D233" s="125">
        <f t="shared" si="18"/>
        <v>13.000000476837158</v>
      </c>
      <c r="E233" s="131">
        <v>20.700000762939453</v>
      </c>
      <c r="F233" s="131">
        <v>5.300000190734863</v>
      </c>
      <c r="G233" s="131">
        <v>34.63999938964844</v>
      </c>
      <c r="H233" s="131">
        <v>84</v>
      </c>
      <c r="I233" s="131">
        <v>15.967889785766602</v>
      </c>
      <c r="J233" s="131">
        <v>4</v>
      </c>
      <c r="K233" s="131">
        <v>3</v>
      </c>
      <c r="L233" s="25">
        <f t="shared" si="19"/>
        <v>24.412681633489253</v>
      </c>
      <c r="M233" s="25">
        <f t="shared" si="20"/>
        <v>8.906992548982615</v>
      </c>
      <c r="N233" s="125">
        <f t="shared" si="21"/>
        <v>7.752844542253319</v>
      </c>
    </row>
    <row r="234" spans="2:14" ht="12.75">
      <c r="B234" s="124"/>
      <c r="C234" s="124" t="str">
        <f t="shared" si="22"/>
        <v>April</v>
      </c>
      <c r="D234" s="125">
        <f t="shared" si="18"/>
        <v>12.59999942779541</v>
      </c>
      <c r="E234" s="131">
        <v>16.799999237060547</v>
      </c>
      <c r="F234" s="131">
        <v>8.399999618530273</v>
      </c>
      <c r="G234" s="131">
        <v>173.1199951171875</v>
      </c>
      <c r="H234" s="131">
        <v>81.4000015258789</v>
      </c>
      <c r="I234" s="131">
        <v>16.39617347717285</v>
      </c>
      <c r="J234" s="131">
        <v>18</v>
      </c>
      <c r="K234" s="131">
        <v>1</v>
      </c>
      <c r="L234" s="25">
        <f t="shared" si="19"/>
        <v>19.13116461473784</v>
      </c>
      <c r="M234" s="25">
        <f t="shared" si="20"/>
        <v>11.022733030526798</v>
      </c>
      <c r="N234" s="125">
        <f t="shared" si="21"/>
        <v>4.054215792105522</v>
      </c>
    </row>
    <row r="235" spans="2:14" ht="12.75">
      <c r="B235" s="124"/>
      <c r="C235" s="124" t="str">
        <f t="shared" si="22"/>
        <v>May</v>
      </c>
      <c r="D235" s="125">
        <f t="shared" si="18"/>
        <v>16.5</v>
      </c>
      <c r="E235" s="131">
        <v>21.100000381469727</v>
      </c>
      <c r="F235" s="131">
        <v>11.899999618530273</v>
      </c>
      <c r="G235" s="131">
        <v>50.560000610351565</v>
      </c>
      <c r="H235" s="131">
        <v>86.80000305175781</v>
      </c>
      <c r="I235" s="131">
        <v>22.898109436035156</v>
      </c>
      <c r="J235" s="131">
        <v>12</v>
      </c>
      <c r="K235" s="131">
        <v>0</v>
      </c>
      <c r="L235" s="25">
        <f t="shared" si="19"/>
        <v>25.020365626527234</v>
      </c>
      <c r="M235" s="25">
        <f t="shared" si="20"/>
        <v>13.93229987041916</v>
      </c>
      <c r="N235" s="125">
        <f t="shared" si="21"/>
        <v>5.544032878054037</v>
      </c>
    </row>
    <row r="236" spans="2:14" ht="12.75">
      <c r="B236" s="124"/>
      <c r="C236" s="124" t="str">
        <f t="shared" si="22"/>
        <v>June</v>
      </c>
      <c r="D236" s="125">
        <f t="shared" si="18"/>
        <v>19.15000057220459</v>
      </c>
      <c r="E236" s="131">
        <v>25.700000762939453</v>
      </c>
      <c r="F236" s="131">
        <v>12.600000381469727</v>
      </c>
      <c r="G236" s="131">
        <v>6.55999984741211</v>
      </c>
      <c r="H236" s="131">
        <v>91.69999694824219</v>
      </c>
      <c r="I236" s="131">
        <v>26.53786277770996</v>
      </c>
      <c r="J236" s="131">
        <v>3</v>
      </c>
      <c r="K236" s="131">
        <v>0</v>
      </c>
      <c r="L236" s="25">
        <f t="shared" si="19"/>
        <v>33.018556773950664</v>
      </c>
      <c r="M236" s="25">
        <f t="shared" si="20"/>
        <v>14.589069008656045</v>
      </c>
      <c r="N236" s="125">
        <f t="shared" si="21"/>
        <v>9.214743882647308</v>
      </c>
    </row>
    <row r="237" spans="2:14" ht="12.75">
      <c r="B237" s="124"/>
      <c r="C237" s="124" t="str">
        <f t="shared" si="22"/>
        <v>July</v>
      </c>
      <c r="D237" s="125">
        <f t="shared" si="18"/>
        <v>19.550000190734863</v>
      </c>
      <c r="E237" s="131">
        <v>26.100000381469727</v>
      </c>
      <c r="F237" s="131">
        <v>13</v>
      </c>
      <c r="G237" s="131">
        <v>22.639999389648438</v>
      </c>
      <c r="H237" s="131">
        <v>104</v>
      </c>
      <c r="I237" s="131">
        <v>24.518169403076172</v>
      </c>
      <c r="J237" s="131">
        <v>4</v>
      </c>
      <c r="K237" s="131">
        <v>0</v>
      </c>
      <c r="L237" s="25">
        <f t="shared" si="19"/>
        <v>33.80916141263848</v>
      </c>
      <c r="M237" s="25">
        <f t="shared" si="20"/>
        <v>14.976440736620033</v>
      </c>
      <c r="N237" s="125">
        <f t="shared" si="21"/>
        <v>9.416360338009223</v>
      </c>
    </row>
    <row r="238" spans="2:14" ht="12.75">
      <c r="B238" s="124"/>
      <c r="C238" s="124" t="str">
        <f t="shared" si="22"/>
        <v>Aug</v>
      </c>
      <c r="D238" s="125">
        <f t="shared" si="18"/>
        <v>20.649999618530273</v>
      </c>
      <c r="E238" s="131">
        <v>27.399999618530273</v>
      </c>
      <c r="F238" s="131">
        <v>13.899999618530273</v>
      </c>
      <c r="G238" s="131">
        <v>11.040000152587892</v>
      </c>
      <c r="H238" s="131">
        <v>101.19999694824219</v>
      </c>
      <c r="I238" s="131">
        <v>25.21816635131836</v>
      </c>
      <c r="J238" s="131">
        <v>2</v>
      </c>
      <c r="K238" s="131">
        <v>0</v>
      </c>
      <c r="L238" s="25">
        <f t="shared" si="19"/>
        <v>36.49370289177355</v>
      </c>
      <c r="M238" s="25">
        <f t="shared" si="20"/>
        <v>15.881204192558155</v>
      </c>
      <c r="N238" s="125">
        <f t="shared" si="21"/>
        <v>10.306249349607699</v>
      </c>
    </row>
    <row r="239" spans="2:14" ht="12.75">
      <c r="B239" s="124"/>
      <c r="C239" s="124" t="str">
        <f t="shared" si="22"/>
        <v>Sep</v>
      </c>
      <c r="D239" s="125">
        <f t="shared" si="18"/>
        <v>19.399999618530273</v>
      </c>
      <c r="E239" s="131">
        <v>26.399999618530273</v>
      </c>
      <c r="F239" s="131">
        <v>12.399999618530273</v>
      </c>
      <c r="G239" s="131">
        <v>22.4</v>
      </c>
      <c r="H239" s="131">
        <v>86.5999984741211</v>
      </c>
      <c r="I239" s="131">
        <v>19.609355926513672</v>
      </c>
      <c r="J239" s="131">
        <v>2</v>
      </c>
      <c r="K239" s="131">
        <v>0</v>
      </c>
      <c r="L239" s="25">
        <f t="shared" si="19"/>
        <v>34.41289123153068</v>
      </c>
      <c r="M239" s="25">
        <f t="shared" si="20"/>
        <v>14.398702575352115</v>
      </c>
      <c r="N239" s="125">
        <f t="shared" si="21"/>
        <v>10.007094328089282</v>
      </c>
    </row>
    <row r="240" spans="2:14" ht="12.75">
      <c r="B240" s="124"/>
      <c r="C240" s="124" t="str">
        <f t="shared" si="22"/>
        <v>Oct</v>
      </c>
      <c r="D240" s="125">
        <f t="shared" si="18"/>
        <v>15.25</v>
      </c>
      <c r="E240" s="131">
        <v>21.5</v>
      </c>
      <c r="F240" s="131">
        <v>9</v>
      </c>
      <c r="G240" s="131">
        <v>78.8</v>
      </c>
      <c r="H240" s="131">
        <v>69.0999984741211</v>
      </c>
      <c r="I240" s="131">
        <v>13.213912010192871</v>
      </c>
      <c r="J240" s="131">
        <v>10</v>
      </c>
      <c r="K240" s="131">
        <v>0</v>
      </c>
      <c r="L240" s="25">
        <f t="shared" si="19"/>
        <v>25.641227262174738</v>
      </c>
      <c r="M240" s="25">
        <f t="shared" si="20"/>
        <v>11.479809370392651</v>
      </c>
      <c r="N240" s="125">
        <f t="shared" si="21"/>
        <v>7.080708945891043</v>
      </c>
    </row>
    <row r="241" spans="2:14" ht="12.75">
      <c r="B241" s="124"/>
      <c r="C241" s="124" t="str">
        <f t="shared" si="22"/>
        <v>Nov</v>
      </c>
      <c r="D241" s="125">
        <f t="shared" si="18"/>
        <v>12.600000381469727</v>
      </c>
      <c r="E241" s="131">
        <v>17.100000381469727</v>
      </c>
      <c r="F241" s="131">
        <v>8.100000381469727</v>
      </c>
      <c r="G241" s="131">
        <v>146.95999755859376</v>
      </c>
      <c r="H241" s="131">
        <v>54.20000076293945</v>
      </c>
      <c r="I241" s="131">
        <v>7.139952659606934</v>
      </c>
      <c r="J241" s="131">
        <v>16</v>
      </c>
      <c r="K241" s="131">
        <v>3</v>
      </c>
      <c r="L241" s="25">
        <f t="shared" si="19"/>
        <v>19.498483907266383</v>
      </c>
      <c r="M241" s="25">
        <f t="shared" si="20"/>
        <v>10.800261386790082</v>
      </c>
      <c r="N241" s="125">
        <f t="shared" si="21"/>
        <v>4.349111260238151</v>
      </c>
    </row>
    <row r="242" spans="2:14" ht="12.75">
      <c r="B242" s="124"/>
      <c r="C242" s="124" t="str">
        <f t="shared" si="22"/>
        <v>Dec</v>
      </c>
      <c r="D242" s="125">
        <f t="shared" si="18"/>
        <v>12.750000476837158</v>
      </c>
      <c r="E242" s="131">
        <v>16.200000762939453</v>
      </c>
      <c r="F242" s="131">
        <v>9.300000190734863</v>
      </c>
      <c r="G242" s="131">
        <v>38.16000061035157</v>
      </c>
      <c r="H242" s="131">
        <v>52.099998474121094</v>
      </c>
      <c r="I242" s="131">
        <v>5.141711711883545</v>
      </c>
      <c r="J242" s="131">
        <v>5</v>
      </c>
      <c r="K242" s="131">
        <v>7</v>
      </c>
      <c r="L242" s="25">
        <f t="shared" si="19"/>
        <v>18.414672339690902</v>
      </c>
      <c r="M242" s="25">
        <f t="shared" si="20"/>
        <v>11.714538133970887</v>
      </c>
      <c r="N242" s="125">
        <f t="shared" si="21"/>
        <v>3.3500671028600078</v>
      </c>
    </row>
    <row r="243" spans="2:14" ht="12.75">
      <c r="B243" s="124">
        <f>B231+1</f>
        <v>2001</v>
      </c>
      <c r="C243" s="124" t="str">
        <f t="shared" si="22"/>
        <v>Jan</v>
      </c>
      <c r="D243" s="125">
        <f t="shared" si="18"/>
        <v>9.849999904632568</v>
      </c>
      <c r="E243" s="131">
        <v>15.199999809265137</v>
      </c>
      <c r="F243" s="131">
        <v>4.5</v>
      </c>
      <c r="G243" s="131">
        <v>98.4</v>
      </c>
      <c r="H243" s="131">
        <v>57.79999923706055</v>
      </c>
      <c r="I243" s="131">
        <v>7.029171943664551</v>
      </c>
      <c r="J243" s="131">
        <v>12</v>
      </c>
      <c r="K243" s="131">
        <v>7</v>
      </c>
      <c r="L243" s="25">
        <f t="shared" si="19"/>
        <v>17.272682971981894</v>
      </c>
      <c r="M243" s="25">
        <f t="shared" si="20"/>
        <v>8.422864881293139</v>
      </c>
      <c r="N243" s="125">
        <f t="shared" si="21"/>
        <v>4.424909045344378</v>
      </c>
    </row>
    <row r="244" spans="2:14" ht="12.75">
      <c r="B244" s="124"/>
      <c r="C244" s="124" t="str">
        <f t="shared" si="22"/>
        <v>Feb</v>
      </c>
      <c r="D244" s="125">
        <f t="shared" si="18"/>
        <v>11.950000047683716</v>
      </c>
      <c r="E244" s="131">
        <v>18</v>
      </c>
      <c r="F244" s="131">
        <v>5.900000095367432</v>
      </c>
      <c r="G244" s="131">
        <v>83.6</v>
      </c>
      <c r="H244" s="131">
        <v>61.29999923706055</v>
      </c>
      <c r="I244" s="131">
        <v>11.237098693847656</v>
      </c>
      <c r="J244" s="131">
        <v>11</v>
      </c>
      <c r="K244" s="131">
        <v>5</v>
      </c>
      <c r="L244" s="25">
        <f t="shared" si="19"/>
        <v>20.637761072587516</v>
      </c>
      <c r="M244" s="25">
        <f t="shared" si="20"/>
        <v>9.286022543193244</v>
      </c>
      <c r="N244" s="125">
        <f t="shared" si="21"/>
        <v>5.675869264697136</v>
      </c>
    </row>
    <row r="245" spans="2:14" ht="12.75">
      <c r="B245" s="124"/>
      <c r="C245" s="124" t="str">
        <f t="shared" si="22"/>
        <v>March</v>
      </c>
      <c r="D245" s="125">
        <f t="shared" si="18"/>
        <v>14.200000286102295</v>
      </c>
      <c r="E245" s="131">
        <v>17.700000762939453</v>
      </c>
      <c r="F245" s="131">
        <v>10.699999809265137</v>
      </c>
      <c r="G245" s="131">
        <v>55.44000244140625</v>
      </c>
      <c r="H245" s="131">
        <v>84</v>
      </c>
      <c r="I245" s="131">
        <v>12.261557579040527</v>
      </c>
      <c r="J245" s="131">
        <v>9</v>
      </c>
      <c r="K245" s="131">
        <v>3</v>
      </c>
      <c r="L245" s="25">
        <f t="shared" si="19"/>
        <v>20.251694228646116</v>
      </c>
      <c r="M245" s="25">
        <f t="shared" si="20"/>
        <v>12.866672233938193</v>
      </c>
      <c r="N245" s="125">
        <f t="shared" si="21"/>
        <v>3.6925109973539616</v>
      </c>
    </row>
    <row r="246" spans="2:14" ht="12.75">
      <c r="B246" s="124"/>
      <c r="C246" s="124" t="str">
        <f t="shared" si="22"/>
        <v>April</v>
      </c>
      <c r="D246" s="125">
        <f t="shared" si="18"/>
        <v>13.499999523162842</v>
      </c>
      <c r="E246" s="131">
        <v>19.299999237060547</v>
      </c>
      <c r="F246" s="131">
        <v>7.699999809265137</v>
      </c>
      <c r="G246" s="131">
        <v>27.920001220703128</v>
      </c>
      <c r="H246" s="131">
        <v>81.4000015258789</v>
      </c>
      <c r="I246" s="131">
        <v>21.216140747070312</v>
      </c>
      <c r="J246" s="131">
        <v>5</v>
      </c>
      <c r="K246" s="131">
        <v>1</v>
      </c>
      <c r="L246" s="25">
        <f t="shared" si="19"/>
        <v>22.386163269439102</v>
      </c>
      <c r="M246" s="25">
        <f t="shared" si="20"/>
        <v>10.509783968828762</v>
      </c>
      <c r="N246" s="125">
        <f t="shared" si="21"/>
        <v>5.93818965030517</v>
      </c>
    </row>
    <row r="247" spans="2:14" ht="12.75">
      <c r="B247" s="124"/>
      <c r="C247" s="124" t="str">
        <f aca="true" t="shared" si="23" ref="C247:C278">C235</f>
        <v>May</v>
      </c>
      <c r="D247" s="125">
        <f t="shared" si="18"/>
        <v>15.649999618530273</v>
      </c>
      <c r="E247" s="131">
        <v>21.299999237060547</v>
      </c>
      <c r="F247" s="131">
        <v>10</v>
      </c>
      <c r="G247" s="131">
        <v>81.75999755859375</v>
      </c>
      <c r="H247" s="131">
        <v>86.80000305175781</v>
      </c>
      <c r="I247" s="131">
        <v>23.02076530456543</v>
      </c>
      <c r="J247" s="131">
        <v>8</v>
      </c>
      <c r="K247" s="131">
        <v>0</v>
      </c>
      <c r="L247" s="25">
        <f t="shared" si="19"/>
        <v>25.329132796778833</v>
      </c>
      <c r="M247" s="25">
        <f t="shared" si="20"/>
        <v>12.27872758855564</v>
      </c>
      <c r="N247" s="125">
        <f t="shared" si="21"/>
        <v>6.5252026041115965</v>
      </c>
    </row>
    <row r="248" spans="2:14" ht="12.75">
      <c r="B248" s="124"/>
      <c r="C248" s="124" t="str">
        <f t="shared" si="23"/>
        <v>June</v>
      </c>
      <c r="D248" s="125">
        <f t="shared" si="18"/>
        <v>18.25</v>
      </c>
      <c r="E248" s="131">
        <v>24.399999618530273</v>
      </c>
      <c r="F248" s="131">
        <v>12.100000381469727</v>
      </c>
      <c r="G248" s="131">
        <v>7.440000152587891</v>
      </c>
      <c r="H248" s="131">
        <v>91.69999694824219</v>
      </c>
      <c r="I248" s="131">
        <v>28.600696563720703</v>
      </c>
      <c r="J248" s="131">
        <v>2</v>
      </c>
      <c r="K248" s="131">
        <v>0</v>
      </c>
      <c r="L248" s="25">
        <f t="shared" si="19"/>
        <v>30.55927570165435</v>
      </c>
      <c r="M248" s="25">
        <f t="shared" si="20"/>
        <v>14.117244452811459</v>
      </c>
      <c r="N248" s="125">
        <f t="shared" si="21"/>
        <v>8.221015624421446</v>
      </c>
    </row>
    <row r="249" spans="2:14" ht="12.75">
      <c r="B249" s="124"/>
      <c r="C249" s="124" t="str">
        <f t="shared" si="23"/>
        <v>July</v>
      </c>
      <c r="D249" s="125">
        <f t="shared" si="18"/>
        <v>19.550000190734863</v>
      </c>
      <c r="E249" s="131">
        <v>24.5</v>
      </c>
      <c r="F249" s="131">
        <v>14.600000381469727</v>
      </c>
      <c r="G249" s="131">
        <v>21.760000610351565</v>
      </c>
      <c r="H249" s="131">
        <v>104</v>
      </c>
      <c r="I249" s="131">
        <v>25.965375900268555</v>
      </c>
      <c r="J249" s="131">
        <v>4</v>
      </c>
      <c r="K249" s="131">
        <v>0</v>
      </c>
      <c r="L249" s="25">
        <f t="shared" si="19"/>
        <v>30.74260663097627</v>
      </c>
      <c r="M249" s="25">
        <f t="shared" si="20"/>
        <v>16.61771685584246</v>
      </c>
      <c r="N249" s="125">
        <f t="shared" si="21"/>
        <v>7.062444887566905</v>
      </c>
    </row>
    <row r="250" spans="2:14" ht="12.75">
      <c r="B250" s="124"/>
      <c r="C250" s="124" t="str">
        <f t="shared" si="23"/>
        <v>Aug</v>
      </c>
      <c r="D250" s="125">
        <f t="shared" si="18"/>
        <v>20.450000286102295</v>
      </c>
      <c r="E250" s="131">
        <v>26.100000381469727</v>
      </c>
      <c r="F250" s="131">
        <v>14.800000190734863</v>
      </c>
      <c r="G250" s="131">
        <v>6.640000152587891</v>
      </c>
      <c r="H250" s="131">
        <v>101.19999694824219</v>
      </c>
      <c r="I250" s="131">
        <v>23.899127960205078</v>
      </c>
      <c r="J250" s="131">
        <v>3</v>
      </c>
      <c r="K250" s="131">
        <v>0</v>
      </c>
      <c r="L250" s="25">
        <f t="shared" si="19"/>
        <v>33.80916141263848</v>
      </c>
      <c r="M250" s="25">
        <f t="shared" si="20"/>
        <v>16.833575963888826</v>
      </c>
      <c r="N250" s="125">
        <f t="shared" si="21"/>
        <v>8.487792724374827</v>
      </c>
    </row>
    <row r="251" spans="2:14" ht="12.75">
      <c r="B251" s="124"/>
      <c r="C251" s="124" t="str">
        <f t="shared" si="23"/>
        <v>Sep</v>
      </c>
      <c r="D251" s="125">
        <f t="shared" si="18"/>
        <v>18.84999990463257</v>
      </c>
      <c r="E251" s="131">
        <v>26.399999618530273</v>
      </c>
      <c r="F251" s="131">
        <v>11.300000190734863</v>
      </c>
      <c r="G251" s="131">
        <v>8.8</v>
      </c>
      <c r="H251" s="131">
        <v>86.5999984741211</v>
      </c>
      <c r="I251" s="131">
        <v>18.212900161743164</v>
      </c>
      <c r="J251" s="131">
        <v>3</v>
      </c>
      <c r="K251" s="131">
        <v>0</v>
      </c>
      <c r="L251" s="25">
        <f t="shared" si="19"/>
        <v>34.41289123153068</v>
      </c>
      <c r="M251" s="25">
        <f t="shared" si="20"/>
        <v>13.390174623831497</v>
      </c>
      <c r="N251" s="125">
        <f t="shared" si="21"/>
        <v>10.51135830384959</v>
      </c>
    </row>
    <row r="252" spans="2:14" ht="12.75">
      <c r="B252" s="124"/>
      <c r="C252" s="124" t="str">
        <f t="shared" si="23"/>
        <v>Oct</v>
      </c>
      <c r="D252" s="125">
        <f t="shared" si="18"/>
        <v>16.950000286102295</v>
      </c>
      <c r="E252" s="131">
        <v>22.600000381469727</v>
      </c>
      <c r="F252" s="131">
        <v>11.300000190734863</v>
      </c>
      <c r="G252" s="131">
        <v>152.4800048828125</v>
      </c>
      <c r="H252" s="131">
        <v>69.0999984741211</v>
      </c>
      <c r="I252" s="131">
        <v>10.874945640563965</v>
      </c>
      <c r="J252" s="131">
        <v>16</v>
      </c>
      <c r="K252" s="131">
        <v>0</v>
      </c>
      <c r="L252" s="25">
        <f t="shared" si="19"/>
        <v>27.418523905952394</v>
      </c>
      <c r="M252" s="25">
        <f t="shared" si="20"/>
        <v>13.390174623831497</v>
      </c>
      <c r="N252" s="125">
        <f t="shared" si="21"/>
        <v>7.014174641060449</v>
      </c>
    </row>
    <row r="253" spans="2:14" ht="12.75">
      <c r="B253" s="124"/>
      <c r="C253" s="124" t="str">
        <f t="shared" si="23"/>
        <v>Nov</v>
      </c>
      <c r="D253" s="125">
        <f t="shared" si="18"/>
        <v>10.25</v>
      </c>
      <c r="E253" s="131">
        <v>17.5</v>
      </c>
      <c r="F253" s="131">
        <v>3</v>
      </c>
      <c r="G253" s="131">
        <v>12.15999984741211</v>
      </c>
      <c r="H253" s="131">
        <v>54.20000076293945</v>
      </c>
      <c r="I253" s="131">
        <v>10.10744571685791</v>
      </c>
      <c r="J253" s="131">
        <v>2</v>
      </c>
      <c r="K253" s="131">
        <v>3</v>
      </c>
      <c r="L253" s="25">
        <f t="shared" si="19"/>
        <v>19.99784134913516</v>
      </c>
      <c r="M253" s="25">
        <f t="shared" si="20"/>
        <v>7.577320579557221</v>
      </c>
      <c r="N253" s="125">
        <f t="shared" si="21"/>
        <v>6.21026038478897</v>
      </c>
    </row>
    <row r="254" spans="2:14" ht="12.75">
      <c r="B254" s="124"/>
      <c r="C254" s="124" t="str">
        <f t="shared" si="23"/>
        <v>Dec</v>
      </c>
      <c r="D254" s="125">
        <f t="shared" si="18"/>
        <v>10</v>
      </c>
      <c r="E254" s="131">
        <v>15.300000190734863</v>
      </c>
      <c r="F254" s="131">
        <v>4.699999809265137</v>
      </c>
      <c r="G254" s="131">
        <v>5.840000152587891</v>
      </c>
      <c r="H254" s="131">
        <v>52.099998474121094</v>
      </c>
      <c r="I254" s="131">
        <v>6.572863578796387</v>
      </c>
      <c r="J254" s="131">
        <v>2</v>
      </c>
      <c r="K254" s="131">
        <v>7</v>
      </c>
      <c r="L254" s="25">
        <f t="shared" si="19"/>
        <v>17.38401691018374</v>
      </c>
      <c r="M254" s="25">
        <f t="shared" si="20"/>
        <v>8.541667949305138</v>
      </c>
      <c r="N254" s="125">
        <f t="shared" si="21"/>
        <v>4.4211744804393005</v>
      </c>
    </row>
    <row r="255" spans="2:14" ht="12.75">
      <c r="B255" s="124">
        <f>B243+1</f>
        <v>2002</v>
      </c>
      <c r="C255" s="124" t="str">
        <f t="shared" si="23"/>
        <v>Jan</v>
      </c>
      <c r="D255" s="125">
        <f t="shared" si="18"/>
        <v>11.450000286102295</v>
      </c>
      <c r="E255" s="131">
        <v>16.700000762939453</v>
      </c>
      <c r="F255" s="131">
        <v>6.199999809265137</v>
      </c>
      <c r="G255" s="131">
        <v>64.72000122070312</v>
      </c>
      <c r="H255" s="131">
        <v>57.79999923706055</v>
      </c>
      <c r="I255" s="131">
        <v>7.381407737731934</v>
      </c>
      <c r="J255" s="131">
        <v>10</v>
      </c>
      <c r="K255" s="131">
        <v>7</v>
      </c>
      <c r="L255" s="25">
        <f t="shared" si="19"/>
        <v>19.010081567210037</v>
      </c>
      <c r="M255" s="25">
        <f t="shared" si="20"/>
        <v>9.480813458603333</v>
      </c>
      <c r="N255" s="125">
        <f t="shared" si="21"/>
        <v>4.764634054303352</v>
      </c>
    </row>
    <row r="256" spans="2:14" ht="12.75">
      <c r="B256" s="124"/>
      <c r="C256" s="124" t="str">
        <f t="shared" si="23"/>
        <v>Feb</v>
      </c>
      <c r="D256" s="125">
        <f t="shared" si="18"/>
        <v>10.749999761581421</v>
      </c>
      <c r="E256" s="131">
        <v>16.899999618530273</v>
      </c>
      <c r="F256" s="131">
        <v>4.599999904632568</v>
      </c>
      <c r="G256" s="131">
        <v>30.720001220703125</v>
      </c>
      <c r="H256" s="131">
        <v>61.29999923706055</v>
      </c>
      <c r="I256" s="131">
        <v>12.51412582397461</v>
      </c>
      <c r="J256" s="131">
        <v>6</v>
      </c>
      <c r="K256" s="131">
        <v>5</v>
      </c>
      <c r="L256" s="25">
        <f t="shared" si="19"/>
        <v>19.25292504323271</v>
      </c>
      <c r="M256" s="25">
        <f t="shared" si="20"/>
        <v>8.482082973546275</v>
      </c>
      <c r="N256" s="125">
        <f t="shared" si="21"/>
        <v>5.385421034843218</v>
      </c>
    </row>
    <row r="257" spans="2:14" ht="12.75">
      <c r="B257" s="124"/>
      <c r="C257" s="124" t="str">
        <f t="shared" si="23"/>
        <v>March</v>
      </c>
      <c r="D257" s="125">
        <f t="shared" si="18"/>
        <v>12.500000476837158</v>
      </c>
      <c r="E257" s="131">
        <v>18.700000762939453</v>
      </c>
      <c r="F257" s="131">
        <v>6.300000190734863</v>
      </c>
      <c r="G257" s="131">
        <v>81.04000244140626</v>
      </c>
      <c r="H257" s="131">
        <v>84</v>
      </c>
      <c r="I257" s="131">
        <v>15.601146697998047</v>
      </c>
      <c r="J257" s="131">
        <v>11</v>
      </c>
      <c r="K257" s="131">
        <v>3</v>
      </c>
      <c r="L257" s="25">
        <f t="shared" si="19"/>
        <v>21.56373945173481</v>
      </c>
      <c r="M257" s="25">
        <f t="shared" si="20"/>
        <v>9.546539425634425</v>
      </c>
      <c r="N257" s="125">
        <f t="shared" si="21"/>
        <v>6.008600013050193</v>
      </c>
    </row>
    <row r="258" spans="2:14" ht="12.75">
      <c r="B258" s="124"/>
      <c r="C258" s="124" t="str">
        <f t="shared" si="23"/>
        <v>April</v>
      </c>
      <c r="D258" s="125">
        <f t="shared" si="18"/>
        <v>12.999999523162842</v>
      </c>
      <c r="E258" s="131">
        <v>18.799999237060547</v>
      </c>
      <c r="F258" s="131">
        <v>7.199999809265137</v>
      </c>
      <c r="G258" s="131">
        <v>30.23999938964844</v>
      </c>
      <c r="H258" s="131">
        <v>81.4000015258789</v>
      </c>
      <c r="I258" s="131">
        <v>21.126995086669922</v>
      </c>
      <c r="J258" s="131">
        <v>7</v>
      </c>
      <c r="K258" s="131">
        <v>1</v>
      </c>
      <c r="L258" s="25">
        <f t="shared" si="19"/>
        <v>21.69894384383438</v>
      </c>
      <c r="M258" s="25">
        <f t="shared" si="20"/>
        <v>10.156375121689901</v>
      </c>
      <c r="N258" s="125">
        <f t="shared" si="21"/>
        <v>5.771284361072238</v>
      </c>
    </row>
    <row r="259" spans="2:14" ht="12.75">
      <c r="B259" s="124"/>
      <c r="C259" s="124" t="str">
        <f t="shared" si="23"/>
        <v>May</v>
      </c>
      <c r="D259" s="125">
        <f aca="true" t="shared" si="24" ref="D259:D278">(E259+F259)/2</f>
        <v>14.550000190734863</v>
      </c>
      <c r="E259" s="131">
        <v>20</v>
      </c>
      <c r="F259" s="131">
        <v>9.100000381469727</v>
      </c>
      <c r="G259" s="131">
        <v>27.03999938964844</v>
      </c>
      <c r="H259" s="131">
        <v>86.80000305175781</v>
      </c>
      <c r="I259" s="131">
        <v>23.334510803222656</v>
      </c>
      <c r="J259" s="131">
        <v>9</v>
      </c>
      <c r="K259" s="131">
        <v>0</v>
      </c>
      <c r="L259" s="25">
        <f t="shared" si="19"/>
        <v>23.38022964146756</v>
      </c>
      <c r="M259" s="25">
        <f t="shared" si="20"/>
        <v>11.557588529951161</v>
      </c>
      <c r="N259" s="125">
        <f t="shared" si="21"/>
        <v>5.9113205557582</v>
      </c>
    </row>
    <row r="260" spans="2:14" ht="12.75">
      <c r="B260" s="124"/>
      <c r="C260" s="124" t="str">
        <f t="shared" si="23"/>
        <v>June</v>
      </c>
      <c r="D260" s="125">
        <f t="shared" si="24"/>
        <v>17.850000381469727</v>
      </c>
      <c r="E260" s="131">
        <v>22.600000381469727</v>
      </c>
      <c r="F260" s="131">
        <v>13.100000381469727</v>
      </c>
      <c r="G260" s="131">
        <v>16.560000610351562</v>
      </c>
      <c r="H260" s="131">
        <v>91.69999694824219</v>
      </c>
      <c r="I260" s="131">
        <v>26.129528045654297</v>
      </c>
      <c r="J260" s="131">
        <v>3</v>
      </c>
      <c r="K260" s="131">
        <v>0</v>
      </c>
      <c r="L260" s="25">
        <f aca="true" t="shared" si="25" ref="L260:L278">6.1078*EXP(17.269*E260/(237.3+E260))</f>
        <v>27.418523905952394</v>
      </c>
      <c r="M260" s="25">
        <f aca="true" t="shared" si="26" ref="M260:M278">6.1078*EXP(17.269*F260/(237.3+F260))</f>
        <v>15.074683504735056</v>
      </c>
      <c r="N260" s="125">
        <f aca="true" t="shared" si="27" ref="N260:N278">(L260-M260)/2</f>
        <v>6.171920200608669</v>
      </c>
    </row>
    <row r="261" spans="2:14" ht="12.75">
      <c r="B261" s="124"/>
      <c r="C261" s="124" t="str">
        <f t="shared" si="23"/>
        <v>July</v>
      </c>
      <c r="D261" s="125">
        <f t="shared" si="24"/>
        <v>19.75</v>
      </c>
      <c r="E261" s="131">
        <v>24.899999618530273</v>
      </c>
      <c r="F261" s="131">
        <v>14.600000381469727</v>
      </c>
      <c r="G261" s="131">
        <v>1.4399999618530275</v>
      </c>
      <c r="H261" s="131">
        <v>104</v>
      </c>
      <c r="I261" s="131">
        <v>27.588281631469727</v>
      </c>
      <c r="J261" s="131">
        <v>1</v>
      </c>
      <c r="K261" s="131">
        <v>0</v>
      </c>
      <c r="L261" s="25">
        <f t="shared" si="25"/>
        <v>31.485554794571886</v>
      </c>
      <c r="M261" s="25">
        <f t="shared" si="26"/>
        <v>16.61771685584246</v>
      </c>
      <c r="N261" s="125">
        <f t="shared" si="27"/>
        <v>7.433918969364713</v>
      </c>
    </row>
    <row r="262" spans="2:14" ht="12.75">
      <c r="B262" s="124"/>
      <c r="C262" s="124" t="str">
        <f t="shared" si="23"/>
        <v>Aug</v>
      </c>
      <c r="D262" s="125">
        <f t="shared" si="24"/>
        <v>19.749999523162842</v>
      </c>
      <c r="E262" s="131">
        <v>25.299999237060547</v>
      </c>
      <c r="F262" s="131">
        <v>14.199999809265137</v>
      </c>
      <c r="G262" s="131">
        <v>1.7600000381469727</v>
      </c>
      <c r="H262" s="131">
        <v>101.19999694824219</v>
      </c>
      <c r="I262" s="131">
        <v>25.237571716308594</v>
      </c>
      <c r="J262" s="131">
        <v>0</v>
      </c>
      <c r="K262" s="131">
        <v>0</v>
      </c>
      <c r="L262" s="25">
        <f t="shared" si="25"/>
        <v>32.244111824970304</v>
      </c>
      <c r="M262" s="25">
        <f t="shared" si="26"/>
        <v>16.19326890763327</v>
      </c>
      <c r="N262" s="125">
        <f t="shared" si="27"/>
        <v>8.025421458668516</v>
      </c>
    </row>
    <row r="263" spans="2:14" ht="12.75">
      <c r="B263" s="124"/>
      <c r="C263" s="124" t="str">
        <f t="shared" si="23"/>
        <v>Sep</v>
      </c>
      <c r="D263" s="125">
        <f t="shared" si="24"/>
        <v>19.000000476837158</v>
      </c>
      <c r="E263" s="131">
        <v>24.200000762939453</v>
      </c>
      <c r="F263" s="131">
        <v>13.800000190734863</v>
      </c>
      <c r="G263" s="131">
        <v>105.1199951171875</v>
      </c>
      <c r="H263" s="131">
        <v>86.5999984741211</v>
      </c>
      <c r="I263" s="131">
        <v>13.841021537780762</v>
      </c>
      <c r="J263" s="131">
        <v>11</v>
      </c>
      <c r="K263" s="131">
        <v>0</v>
      </c>
      <c r="L263" s="25">
        <f t="shared" si="25"/>
        <v>30.195476210578164</v>
      </c>
      <c r="M263" s="25">
        <f t="shared" si="26"/>
        <v>15.778362423757994</v>
      </c>
      <c r="N263" s="125">
        <f t="shared" si="27"/>
        <v>7.208556893410085</v>
      </c>
    </row>
    <row r="264" spans="2:14" ht="12.75">
      <c r="B264" s="124"/>
      <c r="C264" s="124" t="str">
        <f t="shared" si="23"/>
        <v>Oct</v>
      </c>
      <c r="D264" s="125">
        <f t="shared" si="24"/>
        <v>17.850000381469727</v>
      </c>
      <c r="E264" s="131">
        <v>22.700000762939453</v>
      </c>
      <c r="F264" s="131">
        <v>13</v>
      </c>
      <c r="G264" s="131">
        <v>105.04000244140626</v>
      </c>
      <c r="H264" s="131">
        <v>69.0999984741211</v>
      </c>
      <c r="I264" s="131">
        <v>11.301889419555664</v>
      </c>
      <c r="J264" s="131">
        <v>13</v>
      </c>
      <c r="K264" s="131">
        <v>0</v>
      </c>
      <c r="L264" s="25">
        <f t="shared" si="25"/>
        <v>27.585305667346258</v>
      </c>
      <c r="M264" s="25">
        <f t="shared" si="26"/>
        <v>14.976440736620033</v>
      </c>
      <c r="N264" s="125">
        <f t="shared" si="27"/>
        <v>6.304432465363113</v>
      </c>
    </row>
    <row r="265" spans="2:14" ht="12.75">
      <c r="B265" s="124"/>
      <c r="C265" s="124" t="str">
        <f t="shared" si="23"/>
        <v>Nov</v>
      </c>
      <c r="D265" s="125">
        <f t="shared" si="24"/>
        <v>13.199999809265137</v>
      </c>
      <c r="E265" s="131">
        <v>17.899999618530273</v>
      </c>
      <c r="F265" s="131">
        <v>8.5</v>
      </c>
      <c r="G265" s="131">
        <v>161.6</v>
      </c>
      <c r="H265" s="131">
        <v>54.20000076293945</v>
      </c>
      <c r="I265" s="131">
        <v>7.758808135986328</v>
      </c>
      <c r="J265" s="131">
        <v>16</v>
      </c>
      <c r="K265" s="131">
        <v>3</v>
      </c>
      <c r="L265" s="25">
        <f t="shared" si="25"/>
        <v>20.508361575311643</v>
      </c>
      <c r="M265" s="25">
        <f t="shared" si="26"/>
        <v>11.097781720716483</v>
      </c>
      <c r="N265" s="125">
        <f t="shared" si="27"/>
        <v>4.70528992729758</v>
      </c>
    </row>
    <row r="266" spans="2:14" ht="12.75">
      <c r="B266" s="124"/>
      <c r="C266" s="124" t="str">
        <f t="shared" si="23"/>
        <v>Dec</v>
      </c>
      <c r="D266" s="125">
        <f t="shared" si="24"/>
        <v>12.34999942779541</v>
      </c>
      <c r="E266" s="131">
        <v>16.299999237060547</v>
      </c>
      <c r="F266" s="131">
        <v>8.399999618530273</v>
      </c>
      <c r="G266" s="131">
        <v>100.8</v>
      </c>
      <c r="H266" s="131">
        <v>52.099998474121094</v>
      </c>
      <c r="I266" s="131">
        <v>5.941833019256592</v>
      </c>
      <c r="J266" s="131">
        <v>14</v>
      </c>
      <c r="K266" s="131">
        <v>7</v>
      </c>
      <c r="L266" s="25">
        <f t="shared" si="25"/>
        <v>18.532427507601287</v>
      </c>
      <c r="M266" s="25">
        <f t="shared" si="26"/>
        <v>11.022733030526798</v>
      </c>
      <c r="N266" s="125">
        <f t="shared" si="27"/>
        <v>3.754847238537245</v>
      </c>
    </row>
    <row r="267" spans="2:14" ht="12.75">
      <c r="B267" s="124">
        <f>B255+1</f>
        <v>2003</v>
      </c>
      <c r="C267" s="124" t="str">
        <f t="shared" si="23"/>
        <v>Jan</v>
      </c>
      <c r="D267" s="125">
        <f t="shared" si="24"/>
        <v>9.099999785423279</v>
      </c>
      <c r="E267" s="131">
        <v>14.899999618530273</v>
      </c>
      <c r="F267" s="131">
        <v>3.299999952316284</v>
      </c>
      <c r="G267" s="131">
        <v>150.24000244140626</v>
      </c>
      <c r="H267" s="131">
        <v>57.79999923706055</v>
      </c>
      <c r="I267" s="131">
        <v>8.656669616699219</v>
      </c>
      <c r="J267" s="131">
        <v>14</v>
      </c>
      <c r="K267" s="131">
        <v>7</v>
      </c>
      <c r="L267" s="25">
        <f t="shared" si="25"/>
        <v>16.942424159353404</v>
      </c>
      <c r="M267" s="25">
        <f t="shared" si="26"/>
        <v>7.740166879136653</v>
      </c>
      <c r="N267" s="125">
        <f t="shared" si="27"/>
        <v>4.601128640108376</v>
      </c>
    </row>
    <row r="268" spans="2:14" ht="12.75">
      <c r="B268" s="124"/>
      <c r="C268" s="124" t="str">
        <f t="shared" si="23"/>
        <v>Feb</v>
      </c>
      <c r="D268" s="125">
        <f t="shared" si="24"/>
        <v>10.200000286102295</v>
      </c>
      <c r="E268" s="131">
        <v>15.100000381469727</v>
      </c>
      <c r="F268" s="131">
        <v>5.300000190734863</v>
      </c>
      <c r="G268" s="131">
        <v>105.35999755859376</v>
      </c>
      <c r="H268" s="131">
        <v>61.29999923706055</v>
      </c>
      <c r="I268" s="131">
        <v>9.820405960083008</v>
      </c>
      <c r="J268" s="131">
        <v>13</v>
      </c>
      <c r="K268" s="131">
        <v>5</v>
      </c>
      <c r="L268" s="25">
        <f t="shared" si="25"/>
        <v>17.16197573794844</v>
      </c>
      <c r="M268" s="25">
        <f t="shared" si="26"/>
        <v>8.906992548982615</v>
      </c>
      <c r="N268" s="125">
        <f t="shared" si="27"/>
        <v>4.127491594482912</v>
      </c>
    </row>
    <row r="269" spans="2:14" ht="12.75">
      <c r="B269" s="124"/>
      <c r="C269" s="124" t="str">
        <f t="shared" si="23"/>
        <v>March</v>
      </c>
      <c r="D269" s="125">
        <f t="shared" si="24"/>
        <v>13.250000476837158</v>
      </c>
      <c r="E269" s="131">
        <v>19.200000762939453</v>
      </c>
      <c r="F269" s="131">
        <v>7.300000190734863</v>
      </c>
      <c r="G269" s="131">
        <v>65.27999877929688</v>
      </c>
      <c r="H269" s="131">
        <v>84</v>
      </c>
      <c r="I269" s="131">
        <v>14.360557556152344</v>
      </c>
      <c r="J269" s="131">
        <v>8</v>
      </c>
      <c r="K269" s="131">
        <v>3</v>
      </c>
      <c r="L269" s="25">
        <f t="shared" si="25"/>
        <v>22.247218349481148</v>
      </c>
      <c r="M269" s="25">
        <f t="shared" si="26"/>
        <v>10.226207814872636</v>
      </c>
      <c r="N269" s="125">
        <f t="shared" si="27"/>
        <v>6.010505267304256</v>
      </c>
    </row>
    <row r="270" spans="2:14" ht="12.75">
      <c r="B270" s="124"/>
      <c r="C270" s="124" t="str">
        <f t="shared" si="23"/>
        <v>April</v>
      </c>
      <c r="D270" s="125">
        <f t="shared" si="24"/>
        <v>13.750000238418579</v>
      </c>
      <c r="E270" s="131">
        <v>19.600000381469727</v>
      </c>
      <c r="F270" s="131">
        <v>7.900000095367432</v>
      </c>
      <c r="G270" s="131">
        <v>65.75999755859375</v>
      </c>
      <c r="H270" s="131">
        <v>81.4000015258789</v>
      </c>
      <c r="I270" s="131">
        <v>18.18212127685547</v>
      </c>
      <c r="J270" s="131">
        <v>10</v>
      </c>
      <c r="K270" s="131">
        <v>1</v>
      </c>
      <c r="L270" s="25">
        <f t="shared" si="25"/>
        <v>22.80757122531742</v>
      </c>
      <c r="M270" s="25">
        <f t="shared" si="26"/>
        <v>10.654151219420731</v>
      </c>
      <c r="N270" s="125">
        <f t="shared" si="27"/>
        <v>6.076710002948345</v>
      </c>
    </row>
    <row r="271" spans="2:14" ht="12.75">
      <c r="B271" s="124"/>
      <c r="C271" s="124" t="str">
        <f t="shared" si="23"/>
        <v>May</v>
      </c>
      <c r="D271" s="125">
        <f t="shared" si="24"/>
        <v>16.450000286102295</v>
      </c>
      <c r="E271" s="131">
        <v>23.200000762939453</v>
      </c>
      <c r="F271" s="131">
        <v>9.699999809265137</v>
      </c>
      <c r="G271" s="131">
        <v>2.6399999618530274</v>
      </c>
      <c r="H271" s="131">
        <v>86.80000305175781</v>
      </c>
      <c r="I271" s="131">
        <v>26.552148818969727</v>
      </c>
      <c r="J271" s="131">
        <v>1</v>
      </c>
      <c r="K271" s="131">
        <v>0</v>
      </c>
      <c r="L271" s="25">
        <f t="shared" si="25"/>
        <v>28.43256692866712</v>
      </c>
      <c r="M271" s="25">
        <f t="shared" si="26"/>
        <v>12.034071685691945</v>
      </c>
      <c r="N271" s="125">
        <f t="shared" si="27"/>
        <v>8.199247621487588</v>
      </c>
    </row>
    <row r="272" spans="2:14" ht="12.75">
      <c r="B272" s="124"/>
      <c r="C272" s="124" t="str">
        <f t="shared" si="23"/>
        <v>June</v>
      </c>
      <c r="D272" s="125">
        <f t="shared" si="24"/>
        <v>19.90000009536743</v>
      </c>
      <c r="E272" s="131">
        <v>26.100000381469727</v>
      </c>
      <c r="F272" s="131">
        <v>13.699999809265137</v>
      </c>
      <c r="G272" s="131">
        <v>10.95999984741211</v>
      </c>
      <c r="H272" s="131">
        <v>91.69999694824219</v>
      </c>
      <c r="I272" s="131">
        <v>26.293994903564453</v>
      </c>
      <c r="J272" s="131">
        <v>4</v>
      </c>
      <c r="K272" s="131">
        <v>0</v>
      </c>
      <c r="L272" s="25">
        <f t="shared" si="25"/>
        <v>33.80916141263848</v>
      </c>
      <c r="M272" s="25">
        <f t="shared" si="26"/>
        <v>15.676104503912395</v>
      </c>
      <c r="N272" s="125">
        <f t="shared" si="27"/>
        <v>9.066528454363043</v>
      </c>
    </row>
    <row r="273" spans="2:14" ht="12.75">
      <c r="B273" s="124"/>
      <c r="C273" s="124" t="str">
        <f t="shared" si="23"/>
        <v>July</v>
      </c>
      <c r="D273" s="125">
        <f t="shared" si="24"/>
        <v>19.649999618530273</v>
      </c>
      <c r="E273" s="131">
        <v>25.299999237060547</v>
      </c>
      <c r="F273" s="131">
        <v>14</v>
      </c>
      <c r="G273" s="131">
        <v>5.75999984741211</v>
      </c>
      <c r="H273" s="131">
        <v>104</v>
      </c>
      <c r="I273" s="131">
        <v>26.056991577148438</v>
      </c>
      <c r="J273" s="131">
        <v>1</v>
      </c>
      <c r="K273" s="131">
        <v>0</v>
      </c>
      <c r="L273" s="25">
        <f t="shared" si="25"/>
        <v>32.244111824970304</v>
      </c>
      <c r="M273" s="25">
        <f t="shared" si="26"/>
        <v>15.984634614301127</v>
      </c>
      <c r="N273" s="125">
        <f t="shared" si="27"/>
        <v>8.129738605334587</v>
      </c>
    </row>
    <row r="274" spans="2:14" ht="12.75">
      <c r="B274" s="124"/>
      <c r="C274" s="124" t="str">
        <f t="shared" si="23"/>
        <v>Aug</v>
      </c>
      <c r="D274" s="125">
        <f t="shared" si="24"/>
        <v>22.350000381469727</v>
      </c>
      <c r="E274" s="131">
        <v>28.200000762939453</v>
      </c>
      <c r="F274" s="131">
        <v>16.5</v>
      </c>
      <c r="G274" s="131">
        <v>42.47999877929688</v>
      </c>
      <c r="H274" s="131">
        <v>101.19999694824219</v>
      </c>
      <c r="I274" s="131">
        <v>23.03125</v>
      </c>
      <c r="J274" s="131">
        <v>5</v>
      </c>
      <c r="K274" s="131">
        <v>0</v>
      </c>
      <c r="L274" s="25">
        <f t="shared" si="25"/>
        <v>38.236408208042526</v>
      </c>
      <c r="M274" s="25">
        <f t="shared" si="26"/>
        <v>18.76992337303938</v>
      </c>
      <c r="N274" s="125">
        <f t="shared" si="27"/>
        <v>9.733242417501573</v>
      </c>
    </row>
    <row r="275" spans="2:14" ht="12.75">
      <c r="B275" s="124"/>
      <c r="C275" s="124" t="str">
        <f t="shared" si="23"/>
        <v>Sep</v>
      </c>
      <c r="D275" s="125">
        <f t="shared" si="24"/>
        <v>19.449999809265137</v>
      </c>
      <c r="E275" s="131">
        <v>25.5</v>
      </c>
      <c r="F275" s="131">
        <v>13.399999618530273</v>
      </c>
      <c r="G275" s="131">
        <v>35.039999389648436</v>
      </c>
      <c r="H275" s="131">
        <v>86.5999984741211</v>
      </c>
      <c r="I275" s="131">
        <v>18.784709930419922</v>
      </c>
      <c r="J275" s="131">
        <v>5</v>
      </c>
      <c r="K275" s="131">
        <v>0</v>
      </c>
      <c r="L275" s="25">
        <f t="shared" si="25"/>
        <v>32.62933139993077</v>
      </c>
      <c r="M275" s="25">
        <f t="shared" si="26"/>
        <v>15.372812437338062</v>
      </c>
      <c r="N275" s="125">
        <f t="shared" si="27"/>
        <v>8.628259481296354</v>
      </c>
    </row>
    <row r="276" spans="2:14" ht="12.75">
      <c r="B276" s="124"/>
      <c r="C276" s="124" t="str">
        <f t="shared" si="23"/>
        <v>Oct</v>
      </c>
      <c r="D276" s="125">
        <f t="shared" si="24"/>
        <v>15.349999904632568</v>
      </c>
      <c r="E276" s="131">
        <v>20.899999618530273</v>
      </c>
      <c r="F276" s="131">
        <v>9.800000190734863</v>
      </c>
      <c r="G276" s="131">
        <v>143.9199951171875</v>
      </c>
      <c r="H276" s="131">
        <v>69.0999984741211</v>
      </c>
      <c r="I276" s="131">
        <v>12.282328605651855</v>
      </c>
      <c r="J276" s="131">
        <v>14</v>
      </c>
      <c r="K276" s="131">
        <v>0</v>
      </c>
      <c r="L276" s="25">
        <f t="shared" si="25"/>
        <v>24.714889883870146</v>
      </c>
      <c r="M276" s="25">
        <f t="shared" si="26"/>
        <v>12.11514319801641</v>
      </c>
      <c r="N276" s="125">
        <f t="shared" si="27"/>
        <v>6.299873342926868</v>
      </c>
    </row>
    <row r="277" spans="2:14" ht="12.75">
      <c r="B277" s="124"/>
      <c r="C277" s="124" t="str">
        <f t="shared" si="23"/>
        <v>Nov</v>
      </c>
      <c r="D277" s="125">
        <f t="shared" si="24"/>
        <v>13.250000476837158</v>
      </c>
      <c r="E277" s="131">
        <v>17.700000762939453</v>
      </c>
      <c r="F277" s="131">
        <v>8.800000190734863</v>
      </c>
      <c r="G277" s="131">
        <v>110.0800048828125</v>
      </c>
      <c r="H277" s="131">
        <v>54.20000076293945</v>
      </c>
      <c r="I277" s="131">
        <v>7.807931900024414</v>
      </c>
      <c r="J277" s="131">
        <v>11</v>
      </c>
      <c r="K277" s="131">
        <v>3</v>
      </c>
      <c r="L277" s="25">
        <f t="shared" si="25"/>
        <v>20.251694228646116</v>
      </c>
      <c r="M277" s="25">
        <f t="shared" si="26"/>
        <v>11.325632099176183</v>
      </c>
      <c r="N277" s="125">
        <f t="shared" si="27"/>
        <v>4.463031064734967</v>
      </c>
    </row>
    <row r="278" spans="2:14" ht="12.75">
      <c r="B278" s="124"/>
      <c r="C278" s="124" t="str">
        <f t="shared" si="23"/>
        <v>Dec</v>
      </c>
      <c r="D278" s="125">
        <f t="shared" si="24"/>
        <v>9.650000095367432</v>
      </c>
      <c r="E278" s="131">
        <v>15.100000381469727</v>
      </c>
      <c r="F278" s="131">
        <v>4.199999809265137</v>
      </c>
      <c r="G278" s="131">
        <v>84.87999877929688</v>
      </c>
      <c r="H278" s="131">
        <v>52.099998474121094</v>
      </c>
      <c r="I278" s="131">
        <v>7.127495288848877</v>
      </c>
      <c r="J278" s="131">
        <v>11</v>
      </c>
      <c r="K278" s="131">
        <v>7</v>
      </c>
      <c r="L278" s="25">
        <f t="shared" si="25"/>
        <v>17.16197573794844</v>
      </c>
      <c r="M278" s="25">
        <f t="shared" si="26"/>
        <v>8.24739228949318</v>
      </c>
      <c r="N278" s="125">
        <f t="shared" si="27"/>
        <v>4.4572917242276295</v>
      </c>
    </row>
    <row r="279" spans="2:4" ht="12.75">
      <c r="B279" s="124"/>
      <c r="C279" s="124"/>
      <c r="D279" s="124"/>
    </row>
    <row r="280" spans="2:4" ht="12.75">
      <c r="B280" s="124"/>
      <c r="C280" s="124"/>
      <c r="D280" s="124"/>
    </row>
    <row r="281" spans="2:4" ht="12.75">
      <c r="B281" s="124"/>
      <c r="C281" s="124"/>
      <c r="D281" s="124"/>
    </row>
    <row r="282" spans="2:4" ht="12.75">
      <c r="B282" s="124"/>
      <c r="C282" s="124"/>
      <c r="D282" s="124"/>
    </row>
    <row r="283" spans="2:4" ht="12.75">
      <c r="B283" s="124"/>
      <c r="C283" s="124"/>
      <c r="D283" s="124"/>
    </row>
    <row r="284" spans="2:4" ht="12.75">
      <c r="B284" s="124"/>
      <c r="C284" s="124"/>
      <c r="D284" s="124"/>
    </row>
    <row r="285" spans="2:4" ht="12.75">
      <c r="B285" s="124"/>
      <c r="C285" s="124"/>
      <c r="D285" s="124"/>
    </row>
    <row r="286" spans="2:4" ht="12.75">
      <c r="B286" s="124"/>
      <c r="C286" s="124"/>
      <c r="D286" s="124"/>
    </row>
    <row r="287" spans="2:4" ht="12.75">
      <c r="B287" s="124"/>
      <c r="C287" s="124"/>
      <c r="D287" s="124"/>
    </row>
    <row r="288" spans="2:4" ht="12.75">
      <c r="B288" s="124"/>
      <c r="C288" s="124"/>
      <c r="D288" s="124"/>
    </row>
    <row r="289" spans="2:4" ht="12.75">
      <c r="B289" s="124"/>
      <c r="C289" s="124"/>
      <c r="D289" s="124"/>
    </row>
    <row r="290" spans="2:4" ht="12.75">
      <c r="B290" s="124"/>
      <c r="C290" s="124"/>
      <c r="D290" s="124"/>
    </row>
    <row r="291" spans="2:4" ht="12.75">
      <c r="B291" s="124"/>
      <c r="C291" s="124"/>
      <c r="D291" s="124"/>
    </row>
    <row r="292" spans="2:4" ht="12.75">
      <c r="B292" s="124"/>
      <c r="C292" s="124"/>
      <c r="D292" s="124"/>
    </row>
    <row r="293" spans="2:4" ht="12.75">
      <c r="B293" s="124"/>
      <c r="C293" s="124"/>
      <c r="D293" s="124"/>
    </row>
    <row r="294" spans="2:4" ht="12.75">
      <c r="B294" s="124"/>
      <c r="C294" s="124"/>
      <c r="D294" s="124"/>
    </row>
    <row r="295" spans="2:4" ht="12.75">
      <c r="B295" s="124"/>
      <c r="C295" s="124"/>
      <c r="D295" s="124"/>
    </row>
    <row r="296" spans="2:4" ht="12.75">
      <c r="B296" s="124"/>
      <c r="C296" s="124"/>
      <c r="D296" s="124"/>
    </row>
    <row r="297" spans="2:4" ht="12.75">
      <c r="B297" s="124"/>
      <c r="C297" s="124"/>
      <c r="D297" s="124"/>
    </row>
    <row r="298" spans="2:4" ht="12.75">
      <c r="B298" s="124"/>
      <c r="C298" s="124"/>
      <c r="D298" s="124"/>
    </row>
    <row r="299" spans="2:4" ht="12.75">
      <c r="B299" s="124"/>
      <c r="C299" s="124"/>
      <c r="D299" s="124"/>
    </row>
    <row r="300" spans="2:4" ht="12.75">
      <c r="B300" s="124"/>
      <c r="C300" s="124"/>
      <c r="D300" s="124"/>
    </row>
    <row r="301" spans="2:4" ht="12.75">
      <c r="B301" s="124"/>
      <c r="C301" s="124"/>
      <c r="D301" s="124"/>
    </row>
    <row r="302" spans="2:4" ht="12.75">
      <c r="B302" s="124"/>
      <c r="C302" s="124"/>
      <c r="D302" s="124"/>
    </row>
    <row r="303" spans="2:4" ht="12.75">
      <c r="B303" s="124"/>
      <c r="C303" s="124"/>
      <c r="D303" s="124"/>
    </row>
    <row r="304" spans="2:4" ht="12.75">
      <c r="B304" s="124"/>
      <c r="C304" s="124"/>
      <c r="D304" s="124"/>
    </row>
    <row r="305" spans="2:4" ht="12.75">
      <c r="B305" s="124"/>
      <c r="C305" s="124"/>
      <c r="D305" s="124"/>
    </row>
    <row r="306" spans="2:4" ht="12.75">
      <c r="B306" s="124"/>
      <c r="C306" s="124"/>
      <c r="D306" s="124"/>
    </row>
    <row r="307" spans="2:4" ht="12.75">
      <c r="B307" s="124"/>
      <c r="C307" s="124"/>
      <c r="D307" s="124"/>
    </row>
    <row r="308" spans="2:4" ht="12.75">
      <c r="B308" s="124"/>
      <c r="C308" s="124"/>
      <c r="D308" s="124"/>
    </row>
    <row r="309" spans="2:4" ht="12.75">
      <c r="B309" s="124"/>
      <c r="C309" s="124"/>
      <c r="D309" s="124"/>
    </row>
    <row r="310" spans="2:4" ht="12.75">
      <c r="B310" s="124"/>
      <c r="C310" s="124"/>
      <c r="D310" s="124"/>
    </row>
    <row r="311" spans="2:4" ht="12.75">
      <c r="B311" s="124"/>
      <c r="C311" s="124"/>
      <c r="D311" s="124"/>
    </row>
    <row r="312" spans="2:4" ht="12.75">
      <c r="B312" s="124"/>
      <c r="C312" s="124"/>
      <c r="D312" s="124"/>
    </row>
    <row r="313" spans="2:4" ht="12.75">
      <c r="B313" s="124"/>
      <c r="C313" s="124"/>
      <c r="D313" s="124"/>
    </row>
    <row r="314" spans="2:4" ht="12.75">
      <c r="B314" s="124"/>
      <c r="C314" s="124"/>
      <c r="D314" s="124"/>
    </row>
    <row r="315" spans="2:4" ht="12.75">
      <c r="B315" s="124"/>
      <c r="C315" s="124"/>
      <c r="D315" s="124"/>
    </row>
    <row r="316" spans="2:4" ht="12.75">
      <c r="B316" s="124"/>
      <c r="C316" s="124"/>
      <c r="D316" s="124"/>
    </row>
    <row r="317" spans="2:4" ht="12.75">
      <c r="B317" s="124"/>
      <c r="C317" s="124"/>
      <c r="D317" s="124"/>
    </row>
    <row r="318" spans="2:4" ht="12.75">
      <c r="B318" s="124"/>
      <c r="C318" s="124"/>
      <c r="D318" s="124"/>
    </row>
    <row r="319" spans="2:4" ht="12.75">
      <c r="B319" s="124"/>
      <c r="C319" s="124"/>
      <c r="D319" s="124"/>
    </row>
    <row r="320" spans="2:4" ht="12.75">
      <c r="B320" s="124"/>
      <c r="C320" s="124"/>
      <c r="D320" s="124"/>
    </row>
    <row r="321" spans="2:4" ht="12.75">
      <c r="B321" s="124"/>
      <c r="C321" s="124"/>
      <c r="D321" s="124"/>
    </row>
    <row r="322" spans="2:4" ht="12.75">
      <c r="B322" s="124"/>
      <c r="C322" s="124"/>
      <c r="D322" s="124"/>
    </row>
    <row r="323" spans="2:4" ht="12.75">
      <c r="B323" s="124"/>
      <c r="C323" s="124"/>
      <c r="D323" s="124"/>
    </row>
    <row r="324" spans="2:4" ht="12.75">
      <c r="B324" s="124"/>
      <c r="C324" s="124"/>
      <c r="D324" s="124"/>
    </row>
    <row r="325" spans="2:4" ht="12.75">
      <c r="B325" s="124"/>
      <c r="C325" s="124"/>
      <c r="D325" s="124"/>
    </row>
    <row r="326" spans="2:4" ht="12.75">
      <c r="B326" s="124"/>
      <c r="C326" s="124"/>
      <c r="D326" s="124"/>
    </row>
    <row r="327" spans="2:4" ht="12.75">
      <c r="B327" s="124"/>
      <c r="C327" s="124"/>
      <c r="D327" s="124"/>
    </row>
    <row r="328" spans="2:4" ht="12.75">
      <c r="B328" s="124"/>
      <c r="C328" s="124"/>
      <c r="D328" s="124"/>
    </row>
    <row r="329" spans="2:4" ht="12.75">
      <c r="B329" s="124"/>
      <c r="C329" s="124"/>
      <c r="D329" s="124"/>
    </row>
    <row r="330" spans="2:4" ht="12.75">
      <c r="B330" s="124"/>
      <c r="C330" s="124"/>
      <c r="D330" s="124"/>
    </row>
    <row r="331" spans="2:4" ht="12.75">
      <c r="B331" s="124"/>
      <c r="C331" s="124"/>
      <c r="D331" s="124"/>
    </row>
    <row r="332" spans="2:4" ht="12.75">
      <c r="B332" s="124"/>
      <c r="C332" s="124"/>
      <c r="D332" s="124"/>
    </row>
    <row r="333" spans="2:4" ht="12.75">
      <c r="B333" s="124"/>
      <c r="C333" s="124"/>
      <c r="D333" s="124"/>
    </row>
    <row r="334" spans="2:4" ht="12.75">
      <c r="B334" s="124"/>
      <c r="C334" s="124"/>
      <c r="D334" s="124"/>
    </row>
    <row r="335" spans="2:4" ht="12.75">
      <c r="B335" s="124"/>
      <c r="C335" s="124"/>
      <c r="D335" s="124"/>
    </row>
    <row r="336" spans="2:4" ht="12.75">
      <c r="B336" s="124"/>
      <c r="C336" s="124"/>
      <c r="D336" s="124"/>
    </row>
    <row r="337" spans="2:4" ht="12.75">
      <c r="B337" s="124"/>
      <c r="C337" s="124"/>
      <c r="D337" s="124"/>
    </row>
    <row r="338" spans="2:4" ht="12.75">
      <c r="B338" s="124"/>
      <c r="C338" s="124"/>
      <c r="D338" s="124"/>
    </row>
    <row r="339" spans="2:4" ht="12.75">
      <c r="B339" s="124"/>
      <c r="C339" s="124"/>
      <c r="D339" s="124"/>
    </row>
    <row r="340" spans="2:4" ht="12.75">
      <c r="B340" s="124"/>
      <c r="C340" s="124"/>
      <c r="D340" s="124"/>
    </row>
    <row r="341" spans="2:4" ht="12.75">
      <c r="B341" s="124"/>
      <c r="C341" s="124"/>
      <c r="D341" s="124"/>
    </row>
    <row r="342" spans="2:4" ht="12.75">
      <c r="B342" s="124"/>
      <c r="C342" s="124"/>
      <c r="D342" s="124"/>
    </row>
    <row r="343" spans="2:4" ht="12.75">
      <c r="B343" s="124"/>
      <c r="C343" s="124"/>
      <c r="D343" s="124"/>
    </row>
    <row r="344" spans="2:4" ht="12.75">
      <c r="B344" s="124"/>
      <c r="C344" s="124"/>
      <c r="D344" s="124"/>
    </row>
    <row r="345" spans="2:4" ht="12.75">
      <c r="B345" s="124"/>
      <c r="C345" s="124"/>
      <c r="D345" s="124"/>
    </row>
    <row r="346" spans="2:4" ht="12.75">
      <c r="B346" s="124"/>
      <c r="C346" s="124"/>
      <c r="D346" s="124"/>
    </row>
    <row r="347" spans="2:4" ht="12.75">
      <c r="B347" s="124"/>
      <c r="C347" s="124"/>
      <c r="D347" s="124"/>
    </row>
    <row r="348" spans="2:4" ht="12.75">
      <c r="B348" s="124"/>
      <c r="C348" s="124"/>
      <c r="D348" s="124"/>
    </row>
    <row r="349" spans="2:4" ht="12.75">
      <c r="B349" s="124"/>
      <c r="C349" s="124"/>
      <c r="D349" s="124"/>
    </row>
    <row r="350" spans="2:4" ht="12.75">
      <c r="B350" s="124"/>
      <c r="C350" s="124"/>
      <c r="D350" s="124"/>
    </row>
    <row r="351" spans="2:4" ht="12.75">
      <c r="B351" s="124"/>
      <c r="C351" s="124"/>
      <c r="D351" s="124"/>
    </row>
    <row r="352" spans="2:4" ht="12.75">
      <c r="B352" s="124"/>
      <c r="C352" s="124"/>
      <c r="D352" s="124"/>
    </row>
    <row r="353" spans="2:4" ht="12.75">
      <c r="B353" s="124"/>
      <c r="C353" s="124"/>
      <c r="D353" s="124"/>
    </row>
    <row r="354" spans="2:4" ht="12.75">
      <c r="B354" s="124"/>
      <c r="C354" s="124"/>
      <c r="D354" s="124"/>
    </row>
    <row r="355" spans="2:4" ht="12.75">
      <c r="B355" s="124"/>
      <c r="C355" s="124"/>
      <c r="D355" s="124"/>
    </row>
    <row r="356" spans="2:4" ht="12.75">
      <c r="B356" s="124"/>
      <c r="C356" s="124"/>
      <c r="D356" s="124"/>
    </row>
    <row r="357" spans="2:4" ht="12.75">
      <c r="B357" s="124"/>
      <c r="C357" s="124"/>
      <c r="D357" s="124"/>
    </row>
    <row r="358" spans="2:4" ht="12.75">
      <c r="B358" s="124"/>
      <c r="C358" s="124"/>
      <c r="D358" s="124"/>
    </row>
    <row r="359" spans="2:4" ht="12.75">
      <c r="B359" s="124"/>
      <c r="C359" s="124"/>
      <c r="D359" s="124"/>
    </row>
    <row r="360" spans="2:4" ht="12.75">
      <c r="B360" s="124"/>
      <c r="C360" s="124"/>
      <c r="D360" s="124"/>
    </row>
    <row r="361" spans="2:4" ht="12.75">
      <c r="B361" s="124"/>
      <c r="C361" s="124"/>
      <c r="D361" s="124"/>
    </row>
    <row r="362" spans="2:4" ht="12.75">
      <c r="B362" s="124"/>
      <c r="C362" s="124"/>
      <c r="D362" s="124"/>
    </row>
    <row r="363" spans="2:4" ht="12.75">
      <c r="B363" s="124"/>
      <c r="C363" s="124"/>
      <c r="D363" s="124"/>
    </row>
    <row r="364" spans="2:4" ht="12.75">
      <c r="B364" s="124"/>
      <c r="C364" s="124"/>
      <c r="D364" s="124"/>
    </row>
    <row r="365" spans="2:4" ht="12.75">
      <c r="B365" s="124"/>
      <c r="C365" s="124"/>
      <c r="D365" s="124"/>
    </row>
    <row r="366" spans="2:4" ht="12.75">
      <c r="B366" s="124"/>
      <c r="C366" s="124"/>
      <c r="D366" s="124"/>
    </row>
    <row r="367" spans="2:4" ht="12.75">
      <c r="B367" s="124"/>
      <c r="C367" s="124"/>
      <c r="D367" s="124"/>
    </row>
    <row r="368" spans="2:4" ht="12.75">
      <c r="B368" s="124"/>
      <c r="C368" s="124"/>
      <c r="D368" s="124"/>
    </row>
    <row r="369" spans="2:4" ht="12.75">
      <c r="B369" s="124"/>
      <c r="C369" s="124"/>
      <c r="D369" s="124"/>
    </row>
    <row r="370" spans="2:4" ht="12.75">
      <c r="B370" s="124"/>
      <c r="C370" s="124"/>
      <c r="D370" s="124"/>
    </row>
    <row r="371" spans="2:4" ht="12.75">
      <c r="B371" s="124"/>
      <c r="C371" s="124"/>
      <c r="D371" s="124"/>
    </row>
    <row r="372" spans="2:4" ht="12.75">
      <c r="B372" s="124"/>
      <c r="C372" s="124"/>
      <c r="D372" s="124"/>
    </row>
    <row r="373" spans="2:4" ht="12.75">
      <c r="B373" s="124"/>
      <c r="C373" s="124"/>
      <c r="D373" s="124"/>
    </row>
    <row r="374" spans="2:4" ht="12.75">
      <c r="B374" s="124"/>
      <c r="C374" s="124"/>
      <c r="D374" s="124"/>
    </row>
    <row r="375" spans="2:4" ht="12.75">
      <c r="B375" s="124"/>
      <c r="C375" s="124"/>
      <c r="D375" s="124"/>
    </row>
    <row r="376" spans="2:4" ht="12.75">
      <c r="B376" s="124"/>
      <c r="C376" s="124"/>
      <c r="D376" s="124"/>
    </row>
    <row r="377" spans="2:4" ht="12.75">
      <c r="B377" s="124"/>
      <c r="C377" s="124"/>
      <c r="D377" s="124"/>
    </row>
    <row r="378" spans="2:4" ht="12.75">
      <c r="B378" s="124"/>
      <c r="C378" s="124"/>
      <c r="D378" s="124"/>
    </row>
    <row r="379" spans="2:4" ht="12.75">
      <c r="B379" s="124"/>
      <c r="C379" s="124"/>
      <c r="D379" s="124"/>
    </row>
    <row r="380" spans="2:4" ht="12.75">
      <c r="B380" s="124"/>
      <c r="C380" s="124"/>
      <c r="D380" s="124"/>
    </row>
    <row r="381" spans="2:4" ht="12.75">
      <c r="B381" s="124"/>
      <c r="C381" s="124"/>
      <c r="D381" s="124"/>
    </row>
    <row r="382" spans="2:4" ht="12.75">
      <c r="B382" s="124"/>
      <c r="C382" s="124"/>
      <c r="D382" s="124"/>
    </row>
    <row r="383" spans="2:4" ht="12.75">
      <c r="B383" s="124"/>
      <c r="C383" s="124"/>
      <c r="D383" s="124"/>
    </row>
    <row r="384" spans="2:4" ht="12.75">
      <c r="B384" s="124"/>
      <c r="C384" s="124"/>
      <c r="D384" s="124"/>
    </row>
    <row r="385" spans="2:4" ht="12.75">
      <c r="B385" s="124"/>
      <c r="C385" s="124"/>
      <c r="D385" s="124"/>
    </row>
    <row r="386" spans="2:4" ht="12.75">
      <c r="B386" s="124"/>
      <c r="C386" s="124"/>
      <c r="D386" s="124"/>
    </row>
    <row r="387" spans="2:4" ht="12.75">
      <c r="B387" s="124"/>
      <c r="C387" s="124"/>
      <c r="D387" s="124"/>
    </row>
    <row r="388" spans="2:4" ht="12.75">
      <c r="B388" s="124"/>
      <c r="C388" s="124"/>
      <c r="D388" s="124"/>
    </row>
    <row r="389" spans="2:4" ht="12.75">
      <c r="B389" s="124"/>
      <c r="C389" s="124"/>
      <c r="D389" s="124"/>
    </row>
    <row r="390" spans="2:4" ht="12.75">
      <c r="B390" s="124"/>
      <c r="C390" s="124"/>
      <c r="D390" s="124"/>
    </row>
    <row r="391" spans="2:4" ht="12.75">
      <c r="B391" s="124"/>
      <c r="C391" s="124"/>
      <c r="D391" s="124"/>
    </row>
    <row r="392" spans="2:4" ht="12.75">
      <c r="B392" s="124"/>
      <c r="C392" s="124"/>
      <c r="D392" s="124"/>
    </row>
    <row r="393" spans="2:4" ht="12.75">
      <c r="B393" s="124"/>
      <c r="C393" s="124"/>
      <c r="D393" s="124"/>
    </row>
    <row r="394" spans="2:4" ht="12.75">
      <c r="B394" s="124"/>
      <c r="C394" s="124"/>
      <c r="D394" s="124"/>
    </row>
    <row r="395" spans="2:4" ht="12.75">
      <c r="B395" s="124"/>
      <c r="C395" s="124"/>
      <c r="D395" s="124"/>
    </row>
    <row r="396" spans="2:4" ht="12.75">
      <c r="B396" s="124"/>
      <c r="C396" s="124"/>
      <c r="D396" s="124"/>
    </row>
    <row r="397" spans="2:4" ht="12.75">
      <c r="B397" s="124"/>
      <c r="C397" s="124"/>
      <c r="D397" s="124"/>
    </row>
    <row r="398" spans="2:4" ht="12.75">
      <c r="B398" s="124"/>
      <c r="C398" s="124"/>
      <c r="D398" s="124"/>
    </row>
    <row r="399" spans="2:4" ht="12.75">
      <c r="B399" s="124"/>
      <c r="C399" s="124"/>
      <c r="D399" s="124"/>
    </row>
    <row r="400" spans="2:4" ht="12.75">
      <c r="B400" s="124"/>
      <c r="C400" s="124"/>
      <c r="D400" s="124"/>
    </row>
    <row r="401" spans="2:4" ht="12.75">
      <c r="B401" s="124"/>
      <c r="C401" s="124"/>
      <c r="D401" s="124"/>
    </row>
    <row r="402" spans="2:4" ht="12.75">
      <c r="B402" s="124"/>
      <c r="C402" s="124"/>
      <c r="D402" s="124"/>
    </row>
    <row r="403" spans="2:4" ht="12.75">
      <c r="B403" s="124"/>
      <c r="C403" s="124"/>
      <c r="D403" s="124"/>
    </row>
    <row r="404" spans="2:4" ht="12.75">
      <c r="B404" s="124"/>
      <c r="C404" s="124"/>
      <c r="D404" s="124"/>
    </row>
    <row r="405" spans="2:4" ht="12.75">
      <c r="B405" s="124"/>
      <c r="C405" s="124"/>
      <c r="D405" s="124"/>
    </row>
    <row r="406" spans="2:4" ht="12.75">
      <c r="B406" s="124"/>
      <c r="C406" s="124"/>
      <c r="D406" s="124"/>
    </row>
    <row r="407" spans="2:4" ht="12.75">
      <c r="B407" s="124"/>
      <c r="C407" s="124"/>
      <c r="D407" s="124"/>
    </row>
    <row r="408" spans="2:4" ht="12.75">
      <c r="B408" s="124"/>
      <c r="C408" s="124"/>
      <c r="D408" s="124"/>
    </row>
    <row r="409" spans="2:4" ht="12.75">
      <c r="B409" s="124"/>
      <c r="C409" s="124"/>
      <c r="D409" s="124"/>
    </row>
    <row r="410" spans="2:4" ht="12.75">
      <c r="B410" s="124"/>
      <c r="C410" s="124"/>
      <c r="D410" s="124"/>
    </row>
    <row r="411" spans="2:4" ht="12.75">
      <c r="B411" s="124"/>
      <c r="C411" s="124"/>
      <c r="D411" s="124"/>
    </row>
    <row r="412" spans="2:4" ht="12.75">
      <c r="B412" s="124"/>
      <c r="C412" s="124"/>
      <c r="D412" s="124"/>
    </row>
    <row r="413" spans="2:4" ht="12.75">
      <c r="B413" s="124"/>
      <c r="C413" s="124"/>
      <c r="D413" s="124"/>
    </row>
    <row r="414" spans="2:4" ht="12.75">
      <c r="B414" s="124"/>
      <c r="C414" s="124"/>
      <c r="D414" s="124"/>
    </row>
    <row r="415" spans="2:4" ht="12.75">
      <c r="B415" s="124"/>
      <c r="C415" s="124"/>
      <c r="D415" s="124"/>
    </row>
    <row r="416" spans="2:4" ht="12.75">
      <c r="B416" s="124"/>
      <c r="C416" s="124"/>
      <c r="D416" s="124"/>
    </row>
    <row r="417" spans="2:4" ht="12.75">
      <c r="B417" s="124"/>
      <c r="C417" s="124"/>
      <c r="D417" s="124"/>
    </row>
    <row r="418" spans="2:4" ht="12.75">
      <c r="B418" s="124"/>
      <c r="C418" s="124"/>
      <c r="D418" s="124"/>
    </row>
    <row r="419" spans="2:4" ht="12.75">
      <c r="B419" s="124"/>
      <c r="C419" s="124"/>
      <c r="D419" s="124"/>
    </row>
    <row r="420" spans="2:4" ht="12.75">
      <c r="B420" s="124"/>
      <c r="C420" s="124"/>
      <c r="D420" s="124"/>
    </row>
    <row r="421" spans="2:4" ht="12.75">
      <c r="B421" s="124"/>
      <c r="C421" s="124"/>
      <c r="D421" s="124"/>
    </row>
    <row r="422" spans="2:4" ht="12.75">
      <c r="B422" s="124"/>
      <c r="C422" s="124"/>
      <c r="D422" s="124"/>
    </row>
    <row r="423" spans="2:4" ht="12.75">
      <c r="B423" s="124"/>
      <c r="C423" s="124"/>
      <c r="D423" s="124"/>
    </row>
    <row r="424" spans="2:4" ht="12.75">
      <c r="B424" s="124"/>
      <c r="C424" s="124"/>
      <c r="D424" s="124"/>
    </row>
    <row r="425" spans="2:4" ht="12.75">
      <c r="B425" s="124"/>
      <c r="C425" s="124"/>
      <c r="D425" s="124"/>
    </row>
    <row r="426" spans="2:4" ht="12.75">
      <c r="B426" s="124"/>
      <c r="C426" s="124"/>
      <c r="D426" s="124"/>
    </row>
    <row r="427" spans="2:4" ht="12.75">
      <c r="B427" s="124"/>
      <c r="C427" s="124"/>
      <c r="D427" s="124"/>
    </row>
    <row r="428" spans="2:4" ht="12.75">
      <c r="B428" s="124"/>
      <c r="C428" s="124"/>
      <c r="D428" s="124"/>
    </row>
    <row r="429" spans="2:4" ht="12.75">
      <c r="B429" s="124"/>
      <c r="C429" s="124"/>
      <c r="D429" s="124"/>
    </row>
    <row r="430" spans="2:4" ht="12.75">
      <c r="B430" s="124"/>
      <c r="C430" s="124"/>
      <c r="D430" s="124"/>
    </row>
    <row r="431" spans="2:4" ht="12.75">
      <c r="B431" s="124"/>
      <c r="C431" s="124"/>
      <c r="D431" s="124"/>
    </row>
    <row r="432" spans="2:4" ht="12.75">
      <c r="B432" s="124"/>
      <c r="C432" s="124"/>
      <c r="D432" s="124"/>
    </row>
    <row r="433" spans="2:4" ht="12.75">
      <c r="B433" s="124"/>
      <c r="C433" s="124"/>
      <c r="D433" s="124"/>
    </row>
    <row r="434" spans="2:4" ht="12.75">
      <c r="B434" s="124"/>
      <c r="C434" s="124"/>
      <c r="D434" s="124"/>
    </row>
    <row r="435" spans="2:4" ht="12.75">
      <c r="B435" s="124"/>
      <c r="C435" s="124"/>
      <c r="D435" s="124"/>
    </row>
    <row r="436" spans="2:4" ht="12.75">
      <c r="B436" s="124"/>
      <c r="C436" s="124"/>
      <c r="D436" s="124"/>
    </row>
    <row r="437" spans="2:4" ht="12.75">
      <c r="B437" s="124"/>
      <c r="C437" s="124"/>
      <c r="D437" s="124"/>
    </row>
    <row r="438" spans="2:4" ht="12.75">
      <c r="B438" s="124"/>
      <c r="C438" s="124"/>
      <c r="D438" s="124"/>
    </row>
    <row r="439" spans="2:4" ht="12.75">
      <c r="B439" s="124"/>
      <c r="C439" s="124"/>
      <c r="D439" s="124"/>
    </row>
    <row r="440" spans="2:4" ht="12.75">
      <c r="B440" s="124"/>
      <c r="C440" s="124"/>
      <c r="D440" s="124"/>
    </row>
    <row r="441" spans="2:4" ht="12.75">
      <c r="B441" s="124"/>
      <c r="C441" s="124"/>
      <c r="D441" s="124"/>
    </row>
    <row r="442" spans="2:4" ht="12.75">
      <c r="B442" s="124"/>
      <c r="C442" s="124"/>
      <c r="D442" s="124"/>
    </row>
    <row r="443" spans="2:4" ht="12.75">
      <c r="B443" s="124"/>
      <c r="C443" s="124"/>
      <c r="D443" s="124"/>
    </row>
    <row r="444" spans="2:4" ht="12.75">
      <c r="B444" s="124"/>
      <c r="C444" s="124"/>
      <c r="D444" s="124"/>
    </row>
    <row r="445" spans="2:4" ht="12.75">
      <c r="B445" s="124"/>
      <c r="C445" s="124"/>
      <c r="D445" s="124"/>
    </row>
    <row r="446" spans="2:4" ht="12.75">
      <c r="B446" s="124"/>
      <c r="C446" s="124"/>
      <c r="D446" s="124"/>
    </row>
    <row r="447" spans="2:4" ht="12.75">
      <c r="B447" s="124"/>
      <c r="C447" s="124"/>
      <c r="D447" s="124"/>
    </row>
    <row r="448" spans="2:4" ht="12.75">
      <c r="B448" s="124"/>
      <c r="C448" s="124"/>
      <c r="D448" s="124"/>
    </row>
    <row r="449" spans="2:4" ht="12.75">
      <c r="B449" s="124"/>
      <c r="C449" s="124"/>
      <c r="D449" s="124"/>
    </row>
    <row r="450" spans="2:4" ht="12.75">
      <c r="B450" s="124"/>
      <c r="C450" s="124"/>
      <c r="D450" s="124"/>
    </row>
    <row r="451" spans="2:4" ht="12.75">
      <c r="B451" s="124"/>
      <c r="C451" s="124"/>
      <c r="D451" s="124"/>
    </row>
    <row r="452" spans="2:4" ht="12.75">
      <c r="B452" s="124"/>
      <c r="C452" s="124"/>
      <c r="D452" s="124"/>
    </row>
    <row r="453" spans="2:4" ht="12.75">
      <c r="B453" s="124"/>
      <c r="C453" s="124"/>
      <c r="D453" s="124"/>
    </row>
    <row r="454" spans="2:4" ht="12.75">
      <c r="B454" s="124"/>
      <c r="C454" s="124"/>
      <c r="D454" s="124"/>
    </row>
    <row r="455" spans="2:4" ht="12.75">
      <c r="B455" s="124"/>
      <c r="C455" s="124"/>
      <c r="D455" s="124"/>
    </row>
    <row r="456" spans="2:4" ht="12.75">
      <c r="B456" s="124"/>
      <c r="C456" s="124"/>
      <c r="D456" s="124"/>
    </row>
    <row r="457" spans="2:4" ht="12.75">
      <c r="B457" s="124"/>
      <c r="C457" s="124"/>
      <c r="D457" s="124"/>
    </row>
    <row r="458" spans="2:4" ht="12.75">
      <c r="B458" s="124"/>
      <c r="C458" s="124"/>
      <c r="D458" s="124"/>
    </row>
    <row r="459" spans="2:4" ht="12.75">
      <c r="B459" s="124"/>
      <c r="C459" s="124"/>
      <c r="D459" s="124"/>
    </row>
    <row r="460" spans="2:4" ht="12.75">
      <c r="B460" s="124"/>
      <c r="C460" s="124"/>
      <c r="D460" s="124"/>
    </row>
    <row r="461" spans="2:4" ht="12.75">
      <c r="B461" s="124"/>
      <c r="C461" s="124"/>
      <c r="D461" s="124"/>
    </row>
    <row r="462" spans="2:4" ht="12.75">
      <c r="B462" s="124"/>
      <c r="C462" s="124"/>
      <c r="D462" s="124"/>
    </row>
    <row r="463" spans="2:4" ht="12.75">
      <c r="B463" s="124"/>
      <c r="C463" s="124"/>
      <c r="D463" s="124"/>
    </row>
    <row r="464" spans="2:4" ht="12.75">
      <c r="B464" s="124"/>
      <c r="C464" s="124"/>
      <c r="D464" s="124"/>
    </row>
    <row r="465" spans="2:4" ht="12.75">
      <c r="B465" s="124"/>
      <c r="C465" s="124"/>
      <c r="D465" s="124"/>
    </row>
    <row r="466" spans="2:4" ht="12.75">
      <c r="B466" s="124"/>
      <c r="C466" s="124"/>
      <c r="D466" s="124"/>
    </row>
    <row r="467" spans="2:4" ht="12.75">
      <c r="B467" s="124"/>
      <c r="C467" s="124"/>
      <c r="D467" s="124"/>
    </row>
    <row r="468" spans="2:4" ht="12.75">
      <c r="B468" s="124"/>
      <c r="C468" s="124"/>
      <c r="D468" s="124"/>
    </row>
    <row r="469" spans="2:4" ht="12.75">
      <c r="B469" s="124"/>
      <c r="C469" s="124"/>
      <c r="D469" s="124"/>
    </row>
    <row r="470" spans="2:4" ht="12.75">
      <c r="B470" s="124"/>
      <c r="C470" s="124"/>
      <c r="D470" s="124"/>
    </row>
    <row r="471" spans="2:4" ht="12.75">
      <c r="B471" s="124"/>
      <c r="C471" s="124"/>
      <c r="D471" s="124"/>
    </row>
    <row r="472" spans="2:4" ht="12.75">
      <c r="B472" s="124"/>
      <c r="C472" s="124"/>
      <c r="D472" s="124"/>
    </row>
    <row r="473" spans="2:4" ht="12.75">
      <c r="B473" s="124"/>
      <c r="C473" s="124"/>
      <c r="D473" s="124"/>
    </row>
    <row r="474" spans="2:4" ht="12.75">
      <c r="B474" s="124"/>
      <c r="C474" s="124"/>
      <c r="D474" s="124"/>
    </row>
    <row r="475" spans="2:4" ht="12.75">
      <c r="B475" s="124"/>
      <c r="C475" s="124"/>
      <c r="D475" s="124"/>
    </row>
    <row r="476" spans="2:4" ht="12.75">
      <c r="B476" s="124"/>
      <c r="C476" s="124"/>
      <c r="D476" s="124"/>
    </row>
    <row r="477" spans="2:4" ht="12.75">
      <c r="B477" s="124"/>
      <c r="C477" s="124"/>
      <c r="D477" s="124"/>
    </row>
    <row r="478" spans="2:4" ht="12.75">
      <c r="B478" s="124"/>
      <c r="C478" s="124"/>
      <c r="D478" s="124"/>
    </row>
    <row r="479" spans="2:4" ht="12.75">
      <c r="B479" s="124"/>
      <c r="C479" s="124"/>
      <c r="D479" s="124"/>
    </row>
    <row r="480" spans="2:4" ht="12.75">
      <c r="B480" s="124"/>
      <c r="C480" s="124"/>
      <c r="D480" s="124"/>
    </row>
    <row r="481" spans="2:4" ht="12.75">
      <c r="B481" s="124"/>
      <c r="C481" s="124"/>
      <c r="D481" s="124"/>
    </row>
    <row r="482" spans="2:4" ht="12.75">
      <c r="B482" s="124"/>
      <c r="C482" s="124"/>
      <c r="D482" s="124"/>
    </row>
    <row r="483" spans="2:4" ht="12.75">
      <c r="B483" s="124"/>
      <c r="C483" s="124"/>
      <c r="D483" s="124"/>
    </row>
    <row r="484" spans="2:4" ht="12.75">
      <c r="B484" s="124"/>
      <c r="C484" s="124"/>
      <c r="D484" s="124"/>
    </row>
    <row r="485" spans="2:4" ht="12.75">
      <c r="B485" s="124"/>
      <c r="C485" s="124"/>
      <c r="D485" s="124"/>
    </row>
    <row r="486" spans="2:4" ht="12.75">
      <c r="B486" s="124"/>
      <c r="C486" s="124"/>
      <c r="D486" s="124"/>
    </row>
    <row r="487" spans="2:4" ht="12.75">
      <c r="B487" s="124"/>
      <c r="C487" s="124"/>
      <c r="D487" s="124"/>
    </row>
    <row r="488" spans="2:4" ht="12.75">
      <c r="B488" s="124"/>
      <c r="C488" s="124"/>
      <c r="D488" s="124"/>
    </row>
    <row r="489" spans="2:4" ht="12.75">
      <c r="B489" s="124"/>
      <c r="C489" s="124"/>
      <c r="D489" s="124"/>
    </row>
    <row r="490" spans="2:4" ht="12.75">
      <c r="B490" s="124"/>
      <c r="C490" s="124"/>
      <c r="D490" s="124"/>
    </row>
    <row r="491" spans="2:4" ht="12.75">
      <c r="B491" s="124"/>
      <c r="C491" s="124"/>
      <c r="D491" s="124"/>
    </row>
    <row r="492" spans="2:4" ht="12.75">
      <c r="B492" s="124"/>
      <c r="C492" s="124"/>
      <c r="D492" s="124"/>
    </row>
    <row r="493" spans="2:4" ht="12.75">
      <c r="B493" s="124"/>
      <c r="C493" s="124"/>
      <c r="D493" s="124"/>
    </row>
    <row r="494" spans="2:4" ht="12.75">
      <c r="B494" s="124"/>
      <c r="C494" s="124"/>
      <c r="D494" s="124"/>
    </row>
    <row r="495" spans="2:4" ht="12.75">
      <c r="B495" s="124"/>
      <c r="C495" s="124"/>
      <c r="D495" s="124"/>
    </row>
    <row r="496" spans="2:4" ht="12.75">
      <c r="B496" s="124"/>
      <c r="C496" s="124"/>
      <c r="D496" s="124"/>
    </row>
    <row r="497" spans="2:4" ht="12.75">
      <c r="B497" s="124"/>
      <c r="C497" s="124"/>
      <c r="D497" s="124"/>
    </row>
    <row r="498" spans="2:4" ht="12.75">
      <c r="B498" s="124"/>
      <c r="C498" s="124"/>
      <c r="D498" s="124"/>
    </row>
    <row r="499" spans="2:4" ht="12.75">
      <c r="B499" s="124"/>
      <c r="C499" s="124"/>
      <c r="D499" s="124"/>
    </row>
    <row r="500" spans="2:4" ht="12.75">
      <c r="B500" s="124"/>
      <c r="C500" s="124"/>
      <c r="D500" s="124"/>
    </row>
    <row r="501" spans="2:4" ht="12.75">
      <c r="B501" s="124"/>
      <c r="C501" s="124"/>
      <c r="D501" s="124"/>
    </row>
    <row r="502" spans="2:4" ht="12.75">
      <c r="B502" s="124"/>
      <c r="C502" s="124"/>
      <c r="D502" s="124"/>
    </row>
    <row r="503" spans="2:4" ht="12.75">
      <c r="B503" s="124"/>
      <c r="C503" s="124"/>
      <c r="D503" s="124"/>
    </row>
    <row r="504" spans="2:4" ht="12.75">
      <c r="B504" s="124"/>
      <c r="C504" s="124"/>
      <c r="D504" s="124"/>
    </row>
    <row r="505" spans="2:4" ht="12.75">
      <c r="B505" s="124"/>
      <c r="C505" s="124"/>
      <c r="D505" s="124"/>
    </row>
    <row r="506" spans="2:4" ht="12.75">
      <c r="B506" s="124"/>
      <c r="C506" s="124"/>
      <c r="D506" s="124"/>
    </row>
    <row r="507" spans="2:4" ht="12.75">
      <c r="B507" s="124"/>
      <c r="C507" s="124"/>
      <c r="D507" s="124"/>
    </row>
    <row r="508" spans="2:4" ht="12.75">
      <c r="B508" s="124"/>
      <c r="C508" s="124"/>
      <c r="D508" s="124"/>
    </row>
    <row r="509" spans="2:4" ht="12.75">
      <c r="B509" s="124"/>
      <c r="C509" s="124"/>
      <c r="D509" s="124"/>
    </row>
    <row r="510" spans="2:4" ht="12.75">
      <c r="B510" s="124"/>
      <c r="C510" s="124"/>
      <c r="D510" s="124"/>
    </row>
    <row r="511" spans="2:4" ht="12.75">
      <c r="B511" s="124"/>
      <c r="C511" s="124"/>
      <c r="D511" s="124"/>
    </row>
    <row r="512" spans="2:4" ht="12.75">
      <c r="B512" s="124"/>
      <c r="C512" s="124"/>
      <c r="D512" s="124"/>
    </row>
    <row r="513" spans="2:4" ht="12.75">
      <c r="B513" s="124"/>
      <c r="C513" s="124"/>
      <c r="D513" s="124"/>
    </row>
    <row r="514" spans="2:4" ht="12.75">
      <c r="B514" s="124"/>
      <c r="C514" s="124"/>
      <c r="D514" s="124"/>
    </row>
    <row r="515" spans="2:4" ht="12.75">
      <c r="B515" s="124"/>
      <c r="C515" s="124"/>
      <c r="D515" s="124"/>
    </row>
    <row r="516" spans="2:4" ht="12.75">
      <c r="B516" s="124"/>
      <c r="C516" s="124"/>
      <c r="D516" s="124"/>
    </row>
    <row r="517" spans="2:4" ht="12.75">
      <c r="B517" s="124"/>
      <c r="C517" s="124"/>
      <c r="D517" s="124"/>
    </row>
    <row r="518" spans="2:4" ht="12.75">
      <c r="B518" s="124"/>
      <c r="C518" s="124"/>
      <c r="D518" s="124"/>
    </row>
    <row r="519" spans="2:4" ht="12.75">
      <c r="B519" s="124"/>
      <c r="C519" s="124"/>
      <c r="D519" s="124"/>
    </row>
    <row r="520" spans="2:4" ht="12.75">
      <c r="B520" s="124"/>
      <c r="C520" s="124"/>
      <c r="D520" s="124"/>
    </row>
    <row r="521" spans="2:4" ht="12.75">
      <c r="B521" s="124"/>
      <c r="C521" s="124"/>
      <c r="D521" s="124"/>
    </row>
    <row r="522" spans="2:4" ht="12.75">
      <c r="B522" s="124"/>
      <c r="C522" s="124"/>
      <c r="D522" s="124"/>
    </row>
    <row r="523" spans="2:4" ht="12.75">
      <c r="B523" s="124"/>
      <c r="C523" s="124"/>
      <c r="D523" s="124"/>
    </row>
    <row r="524" spans="2:4" ht="12.75">
      <c r="B524" s="124"/>
      <c r="C524" s="124"/>
      <c r="D524" s="124"/>
    </row>
    <row r="525" spans="2:4" ht="12.75">
      <c r="B525" s="124"/>
      <c r="C525" s="124"/>
      <c r="D525" s="124"/>
    </row>
    <row r="526" spans="2:4" ht="12.75">
      <c r="B526" s="124"/>
      <c r="C526" s="124"/>
      <c r="D526" s="124"/>
    </row>
    <row r="527" spans="2:4" ht="12.75">
      <c r="B527" s="124"/>
      <c r="C527" s="124"/>
      <c r="D527" s="124"/>
    </row>
    <row r="528" spans="2:4" ht="12.75">
      <c r="B528" s="124"/>
      <c r="C528" s="124"/>
      <c r="D528" s="124"/>
    </row>
    <row r="529" spans="2:4" ht="12.75">
      <c r="B529" s="124"/>
      <c r="C529" s="124"/>
      <c r="D529" s="124"/>
    </row>
    <row r="530" spans="2:4" ht="12.75">
      <c r="B530" s="124"/>
      <c r="C530" s="124"/>
      <c r="D530" s="124"/>
    </row>
    <row r="531" spans="2:4" ht="12.75">
      <c r="B531" s="124"/>
      <c r="C531" s="124"/>
      <c r="D531" s="124"/>
    </row>
    <row r="532" spans="2:4" ht="12.75">
      <c r="B532" s="124"/>
      <c r="C532" s="124"/>
      <c r="D532" s="124"/>
    </row>
    <row r="533" spans="2:4" ht="12.75">
      <c r="B533" s="124"/>
      <c r="C533" s="124"/>
      <c r="D533" s="124"/>
    </row>
    <row r="534" spans="2:4" ht="12.75">
      <c r="B534" s="124"/>
      <c r="C534" s="124"/>
      <c r="D534" s="124"/>
    </row>
    <row r="535" spans="2:4" ht="12.75">
      <c r="B535" s="124"/>
      <c r="C535" s="124"/>
      <c r="D535" s="124"/>
    </row>
    <row r="536" spans="2:4" ht="12.75">
      <c r="B536" s="124"/>
      <c r="C536" s="124"/>
      <c r="D536" s="124"/>
    </row>
    <row r="537" spans="2:4" ht="12.75">
      <c r="B537" s="124"/>
      <c r="C537" s="124"/>
      <c r="D537" s="124"/>
    </row>
    <row r="538" spans="2:4" ht="12.75">
      <c r="B538" s="124"/>
      <c r="C538" s="124"/>
      <c r="D538" s="124"/>
    </row>
    <row r="539" spans="2:4" ht="12.75">
      <c r="B539" s="124"/>
      <c r="C539" s="124"/>
      <c r="D539" s="124"/>
    </row>
    <row r="540" spans="2:4" ht="12.75">
      <c r="B540" s="124"/>
      <c r="C540" s="124"/>
      <c r="D540" s="124"/>
    </row>
    <row r="541" spans="2:4" ht="12.75">
      <c r="B541" s="124"/>
      <c r="C541" s="124"/>
      <c r="D541" s="124"/>
    </row>
    <row r="542" spans="2:4" ht="12.75">
      <c r="B542" s="124"/>
      <c r="C542" s="124"/>
      <c r="D542" s="124"/>
    </row>
  </sheetData>
  <sheetProtection/>
  <printOptions/>
  <pageMargins left="0.15" right="0.59" top="0.73" bottom="0.51" header="0.25" footer="0.13"/>
  <pageSetup blackAndWhite="1" horizontalDpi="300" verticalDpi="300" orientation="landscape" paperSize="9" r:id="rId2"/>
  <headerFooter alignWithMargins="0">
    <oddHeader>&amp;L&amp;A&amp;R&amp;F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Margarida Tomé</dc:creator>
  <cp:keywords/>
  <dc:description/>
  <cp:lastModifiedBy>Margarida Tomé</cp:lastModifiedBy>
  <cp:lastPrinted>2008-07-22T17:54:03Z</cp:lastPrinted>
  <dcterms:created xsi:type="dcterms:W3CDTF">2004-04-13T19:24:07Z</dcterms:created>
  <dcterms:modified xsi:type="dcterms:W3CDTF">2017-01-18T16:26:33Z</dcterms:modified>
  <cp:category/>
  <cp:version/>
  <cp:contentType/>
  <cp:contentStatus/>
</cp:coreProperties>
</file>